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12.xml" ContentType="application/vnd.openxmlformats-officedocument.drawingml.chart+xml"/>
  <Override PartName="/xl/drawings/drawing15.xml" ContentType="application/vnd.openxmlformats-officedocument.drawing+xml"/>
  <Override PartName="/xl/charts/chart13.xml" ContentType="application/vnd.openxmlformats-officedocument.drawingml.chart+xml"/>
  <Override PartName="/xl/drawings/drawing16.xml" ContentType="application/vnd.openxmlformats-officedocument.drawing+xml"/>
  <Override PartName="/xl/charts/chart14.xml" ContentType="application/vnd.openxmlformats-officedocument.drawingml.chart+xml"/>
  <Override PartName="/xl/drawings/drawing17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8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charts/chart19.xml" ContentType="application/vnd.openxmlformats-officedocument.drawingml.chart+xml"/>
  <Override PartName="/xl/drawings/drawing21.xml" ContentType="application/vnd.openxmlformats-officedocument.drawing+xml"/>
  <Override PartName="/xl/charts/chart20.xml" ContentType="application/vnd.openxmlformats-officedocument.drawingml.chart+xml"/>
  <Override PartName="/xl/drawings/drawing22.xml" ContentType="application/vnd.openxmlformats-officedocument.drawing+xml"/>
  <Override PartName="/xl/charts/chart21.xml" ContentType="application/vnd.openxmlformats-officedocument.drawingml.chart+xml"/>
  <Override PartName="/xl/drawings/drawing23.xml" ContentType="application/vnd.openxmlformats-officedocument.drawing+xml"/>
  <Override PartName="/xl/charts/chart22.xml" ContentType="application/vnd.openxmlformats-officedocument.drawingml.chart+xml"/>
  <Override PartName="/xl/drawings/drawing24.xml" ContentType="application/vnd.openxmlformats-officedocument.drawing+xml"/>
  <Override PartName="/xl/charts/chart23.xml" ContentType="application/vnd.openxmlformats-officedocument.drawingml.chart+xml"/>
  <Override PartName="/xl/drawings/drawing25.xml" ContentType="application/vnd.openxmlformats-officedocument.drawing+xml"/>
  <Override PartName="/xl/charts/chart24.xml" ContentType="application/vnd.openxmlformats-officedocument.drawingml.chart+xml"/>
  <Override PartName="/xl/drawings/drawing26.xml" ContentType="application/vnd.openxmlformats-officedocument.drawing+xml"/>
  <Override PartName="/xl/charts/chart25.xml" ContentType="application/vnd.openxmlformats-officedocument.drawingml.chart+xml"/>
  <Override PartName="/xl/drawings/drawing27.xml" ContentType="application/vnd.openxmlformats-officedocument.drawing+xml"/>
  <Override PartName="/xl/charts/chart26.xml" ContentType="application/vnd.openxmlformats-officedocument.drawingml.chart+xml"/>
  <Override PartName="/xl/drawings/drawing28.xml" ContentType="application/vnd.openxmlformats-officedocument.drawing+xml"/>
  <Override PartName="/xl/charts/chart27.xml" ContentType="application/vnd.openxmlformats-officedocument.drawingml.chart+xml"/>
  <Override PartName="/xl/drawings/drawing29.xml" ContentType="application/vnd.openxmlformats-officedocument.drawing+xml"/>
  <Override PartName="/xl/charts/chart2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285" windowWidth="14805" windowHeight="7830" tabRatio="802" activeTab="3"/>
  </bookViews>
  <sheets>
    <sheet name="titulinis" sheetId="4" r:id="rId1"/>
    <sheet name="turinys" sheetId="5" r:id="rId2"/>
    <sheet name="3 psl." sheetId="68" r:id="rId3"/>
    <sheet name="4 psl." sheetId="2" r:id="rId4"/>
    <sheet name="5 psl." sheetId="3" r:id="rId5"/>
    <sheet name="6 psl." sheetId="16" r:id="rId6"/>
    <sheet name="7 psl." sheetId="17" r:id="rId7"/>
    <sheet name="8 psl." sheetId="18" r:id="rId8"/>
    <sheet name="9 psl." sheetId="21" r:id="rId9"/>
    <sheet name="10 psl." sheetId="22" r:id="rId10"/>
    <sheet name="11 psl." sheetId="23" r:id="rId11"/>
    <sheet name="12 psl." sheetId="26" r:id="rId12"/>
    <sheet name="13 psl." sheetId="27" r:id="rId13"/>
    <sheet name="14 psl." sheetId="28" r:id="rId14"/>
    <sheet name="15 psl." sheetId="29" r:id="rId15"/>
    <sheet name="16 psl." sheetId="25" r:id="rId16"/>
    <sheet name="17 psl." sheetId="34" r:id="rId17"/>
    <sheet name="18 psl." sheetId="35" r:id="rId18"/>
    <sheet name="19 psl." sheetId="69" r:id="rId19"/>
    <sheet name="20 psl." sheetId="36" r:id="rId20"/>
    <sheet name="21 psl." sheetId="70" r:id="rId21"/>
    <sheet name="22 psl." sheetId="37" r:id="rId22"/>
    <sheet name="23 psl." sheetId="71" r:id="rId23"/>
    <sheet name="24 psl." sheetId="38" r:id="rId24"/>
    <sheet name="25 psl." sheetId="44" r:id="rId25"/>
    <sheet name="26 psl." sheetId="46" r:id="rId26"/>
    <sheet name="27 psl." sheetId="48" r:id="rId27"/>
    <sheet name="28 psl." sheetId="49" r:id="rId28"/>
    <sheet name="29 psl." sheetId="31" r:id="rId29"/>
    <sheet name="30 psl." sheetId="51" r:id="rId30"/>
    <sheet name="31 psl." sheetId="53" r:id="rId31"/>
    <sheet name="32 psl." sheetId="56" r:id="rId32"/>
    <sheet name="33 psl." sheetId="59" r:id="rId33"/>
    <sheet name="34 psl." sheetId="72" r:id="rId34"/>
    <sheet name="35 psl." sheetId="60" r:id="rId35"/>
    <sheet name="36 psl." sheetId="61" r:id="rId36"/>
    <sheet name="37 psl." sheetId="62" r:id="rId37"/>
    <sheet name="38 psl." sheetId="63" r:id="rId38"/>
    <sheet name="39 psl." sheetId="66" r:id="rId39"/>
    <sheet name="40 psl." sheetId="65" r:id="rId40"/>
    <sheet name="41 psl." sheetId="73" r:id="rId41"/>
  </sheets>
  <externalReferences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ggg">[1]Macro1!$A$152</definedName>
    <definedName name="_xlnm.Print_Area" localSheetId="38">'39 psl.'!$A$1:$E$14</definedName>
    <definedName name="Recover" localSheetId="9">[2]Macro1!$A$152</definedName>
    <definedName name="Recover" localSheetId="10">[2]Macro1!$A$152</definedName>
    <definedName name="Recover" localSheetId="11">[2]Macro1!$A$152</definedName>
    <definedName name="Recover" localSheetId="25">[3]Macro1!$A$45</definedName>
    <definedName name="Recover" localSheetId="26">[3]Macro1!$A$45</definedName>
    <definedName name="Recover" localSheetId="27">[3]Macro1!$A$45</definedName>
    <definedName name="Recover" localSheetId="29">[3]Macro1!$A$45</definedName>
    <definedName name="Recover" localSheetId="38">[4]Macro1!$A$152</definedName>
    <definedName name="Recover" localSheetId="5">[2]Macro1!$A$152</definedName>
    <definedName name="Recover" localSheetId="6">[2]Macro1!$A$152</definedName>
    <definedName name="Recover" localSheetId="7">[1]Macro1!$A$152</definedName>
    <definedName name="Recover" localSheetId="8">[2]Macro1!$A$152</definedName>
    <definedName name="Recover">[4]Macro1!$A$152</definedName>
    <definedName name="TableName">"Dummy"</definedName>
  </definedNames>
  <calcPr calcId="152511"/>
</workbook>
</file>

<file path=xl/calcChain.xml><?xml version="1.0" encoding="utf-8"?>
<calcChain xmlns="http://schemas.openxmlformats.org/spreadsheetml/2006/main">
  <c r="D12" i="66" l="1"/>
  <c r="D11" i="66"/>
  <c r="D6" i="66"/>
  <c r="D7" i="66"/>
  <c r="D8" i="66"/>
  <c r="D5" i="66"/>
  <c r="I12" i="62" l="1"/>
  <c r="I7" i="62"/>
  <c r="D7" i="17" l="1"/>
  <c r="F97" i="2"/>
  <c r="E96" i="2"/>
  <c r="D96" i="2"/>
  <c r="C96" i="2"/>
  <c r="F95" i="2"/>
  <c r="F96" i="2" s="1"/>
  <c r="F93" i="2"/>
  <c r="E92" i="2"/>
  <c r="D92" i="2"/>
  <c r="C92" i="2"/>
  <c r="F91" i="2"/>
  <c r="F92" i="2" s="1"/>
  <c r="F88" i="2"/>
  <c r="F87" i="2"/>
  <c r="F86" i="2"/>
  <c r="F85" i="2"/>
  <c r="F84" i="2"/>
  <c r="F83" i="2"/>
  <c r="F82" i="2"/>
  <c r="F81" i="2"/>
  <c r="F80" i="2" s="1"/>
  <c r="E80" i="2"/>
  <c r="D80" i="2"/>
  <c r="C80" i="2"/>
  <c r="F79" i="2"/>
  <c r="F78" i="2"/>
  <c r="F77" i="2"/>
  <c r="F76" i="2"/>
  <c r="F75" i="2"/>
  <c r="F74" i="2"/>
  <c r="E73" i="2"/>
  <c r="D73" i="2"/>
  <c r="C73" i="2"/>
  <c r="F72" i="2"/>
  <c r="F71" i="2"/>
  <c r="F70" i="2"/>
  <c r="F69" i="2"/>
  <c r="F68" i="2"/>
  <c r="F67" i="2"/>
  <c r="F66" i="2" s="1"/>
  <c r="E66" i="2"/>
  <c r="D66" i="2"/>
  <c r="D59" i="2" s="1"/>
  <c r="C66" i="2"/>
  <c r="F65" i="2"/>
  <c r="F64" i="2"/>
  <c r="F63" i="2"/>
  <c r="F62" i="2"/>
  <c r="F61" i="2"/>
  <c r="F60" i="2" s="1"/>
  <c r="E60" i="2"/>
  <c r="D60" i="2"/>
  <c r="C60" i="2"/>
  <c r="F58" i="2"/>
  <c r="F57" i="2"/>
  <c r="F56" i="2"/>
  <c r="F55" i="2"/>
  <c r="F54" i="2"/>
  <c r="F53" i="2"/>
  <c r="F52" i="2"/>
  <c r="F51" i="2"/>
  <c r="E50" i="2"/>
  <c r="E45" i="2" s="1"/>
  <c r="D50" i="2"/>
  <c r="C50" i="2"/>
  <c r="C45" i="2" s="1"/>
  <c r="C7" i="2" s="1"/>
  <c r="F49" i="2"/>
  <c r="F48" i="2"/>
  <c r="F47" i="2"/>
  <c r="F46" i="2"/>
  <c r="D45" i="2"/>
  <c r="F44" i="2"/>
  <c r="F43" i="2"/>
  <c r="F41" i="2"/>
  <c r="F40" i="2"/>
  <c r="F39" i="2"/>
  <c r="F38" i="2"/>
  <c r="D37" i="2"/>
  <c r="D42" i="2" s="1"/>
  <c r="F42" i="2" s="1"/>
  <c r="C37" i="2"/>
  <c r="C42" i="2" s="1"/>
  <c r="F36" i="2"/>
  <c r="F35" i="2"/>
  <c r="F34" i="2"/>
  <c r="F33" i="2"/>
  <c r="F32" i="2" s="1"/>
  <c r="E32" i="2"/>
  <c r="D32" i="2"/>
  <c r="C32" i="2"/>
  <c r="F31" i="2"/>
  <c r="F30" i="2"/>
  <c r="F29" i="2"/>
  <c r="F28" i="2"/>
  <c r="E27" i="2"/>
  <c r="D27" i="2"/>
  <c r="F27" i="2" s="1"/>
  <c r="C27" i="2"/>
  <c r="F26" i="2"/>
  <c r="F25" i="2"/>
  <c r="E24" i="2"/>
  <c r="D24" i="2"/>
  <c r="C24" i="2"/>
  <c r="F23" i="2"/>
  <c r="F22" i="2"/>
  <c r="F21" i="2"/>
  <c r="D20" i="2"/>
  <c r="F20" i="2" s="1"/>
  <c r="C20" i="2"/>
  <c r="F19" i="2"/>
  <c r="F18" i="2"/>
  <c r="F17" i="2"/>
  <c r="E16" i="2"/>
  <c r="D16" i="2"/>
  <c r="F16" i="2" s="1"/>
  <c r="C16" i="2"/>
  <c r="F15" i="2"/>
  <c r="F14" i="2"/>
  <c r="F13" i="2"/>
  <c r="F12" i="2"/>
  <c r="F11" i="2"/>
  <c r="F10" i="2"/>
  <c r="E9" i="2"/>
  <c r="C9" i="2"/>
  <c r="E8" i="2"/>
  <c r="E7" i="2" s="1"/>
  <c r="C8" i="2"/>
  <c r="C6" i="2" l="1"/>
  <c r="F24" i="2"/>
  <c r="F50" i="2"/>
  <c r="F45" i="2" s="1"/>
  <c r="C59" i="2"/>
  <c r="E59" i="2"/>
  <c r="E6" i="2" s="1"/>
  <c r="E89" i="2" s="1"/>
  <c r="F73" i="2"/>
  <c r="F9" i="2"/>
  <c r="F8" i="2" s="1"/>
  <c r="F7" i="2" s="1"/>
  <c r="F6" i="2" s="1"/>
  <c r="F89" i="2" s="1"/>
  <c r="F59" i="2"/>
  <c r="D9" i="2"/>
  <c r="D8" i="2" s="1"/>
  <c r="D7" i="2" s="1"/>
  <c r="D6" i="2" s="1"/>
  <c r="D89" i="2" s="1"/>
  <c r="F37" i="2"/>
  <c r="E25" i="68"/>
  <c r="C17" i="68"/>
  <c r="D6" i="68"/>
  <c r="E6" i="68" s="1"/>
  <c r="C6" i="68"/>
  <c r="C26" i="68" s="1"/>
  <c r="C89" i="2" l="1"/>
  <c r="G6" i="61"/>
  <c r="F6" i="61"/>
  <c r="E6" i="61"/>
  <c r="D6" i="61"/>
  <c r="C6" i="61"/>
  <c r="B6" i="61"/>
  <c r="J24" i="53"/>
  <c r="G6" i="29" l="1"/>
  <c r="F6" i="29"/>
  <c r="E6" i="29"/>
  <c r="D6" i="29"/>
  <c r="C6" i="29"/>
  <c r="B6" i="29"/>
  <c r="O37" i="53" l="1"/>
  <c r="O36" i="53"/>
  <c r="N36" i="53"/>
  <c r="M36" i="53"/>
  <c r="L36" i="53"/>
  <c r="K36" i="53"/>
  <c r="J36" i="53"/>
  <c r="I36" i="53"/>
  <c r="O35" i="53"/>
  <c r="O34" i="53"/>
  <c r="N34" i="53"/>
  <c r="M34" i="53"/>
  <c r="L34" i="53"/>
  <c r="K34" i="53"/>
  <c r="J34" i="53"/>
  <c r="I34" i="53"/>
  <c r="O33" i="53"/>
  <c r="N33" i="53"/>
  <c r="N32" i="53" s="1"/>
  <c r="M33" i="53"/>
  <c r="M32" i="53" s="1"/>
  <c r="L33" i="53"/>
  <c r="K33" i="53"/>
  <c r="K32" i="53" s="1"/>
  <c r="J33" i="53"/>
  <c r="I33" i="53"/>
  <c r="O29" i="53"/>
  <c r="N29" i="53"/>
  <c r="M29" i="53"/>
  <c r="L29" i="53"/>
  <c r="K29" i="53"/>
  <c r="J29" i="53"/>
  <c r="I29" i="53"/>
  <c r="O28" i="53"/>
  <c r="O27" i="53"/>
  <c r="N27" i="53"/>
  <c r="M27" i="53"/>
  <c r="L27" i="53"/>
  <c r="K27" i="53"/>
  <c r="J27" i="53"/>
  <c r="I27" i="53"/>
  <c r="O26" i="53"/>
  <c r="O25" i="53"/>
  <c r="N25" i="53"/>
  <c r="M25" i="53"/>
  <c r="L25" i="53"/>
  <c r="K25" i="53"/>
  <c r="J25" i="53"/>
  <c r="I25" i="53"/>
  <c r="O24" i="53"/>
  <c r="N24" i="53"/>
  <c r="M24" i="53"/>
  <c r="L24" i="53"/>
  <c r="K24" i="53"/>
  <c r="I24" i="53"/>
  <c r="O22" i="53"/>
  <c r="N22" i="53"/>
  <c r="M22" i="53"/>
  <c r="L22" i="53"/>
  <c r="K22" i="53"/>
  <c r="J22" i="53"/>
  <c r="I22" i="53"/>
  <c r="H22" i="53"/>
  <c r="G22" i="53"/>
  <c r="F22" i="53"/>
  <c r="E22" i="53"/>
  <c r="O17" i="53"/>
  <c r="N17" i="53"/>
  <c r="M17" i="53"/>
  <c r="L17" i="53"/>
  <c r="K17" i="53"/>
  <c r="J17" i="53"/>
  <c r="I17" i="53"/>
  <c r="H17" i="53"/>
  <c r="G17" i="53"/>
  <c r="F17" i="53"/>
  <c r="E17" i="53"/>
  <c r="O12" i="53"/>
  <c r="N37" i="53"/>
  <c r="M37" i="53"/>
  <c r="L37" i="53"/>
  <c r="K37" i="53"/>
  <c r="J37" i="53"/>
  <c r="I11" i="53"/>
  <c r="I37" i="53" s="1"/>
  <c r="H11" i="53"/>
  <c r="G11" i="53"/>
  <c r="F11" i="53"/>
  <c r="E11" i="53"/>
  <c r="N35" i="53"/>
  <c r="M35" i="53"/>
  <c r="L35" i="53"/>
  <c r="K35" i="53"/>
  <c r="J35" i="53"/>
  <c r="I10" i="53"/>
  <c r="I35" i="53" s="1"/>
  <c r="H10" i="53"/>
  <c r="G10" i="53"/>
  <c r="F10" i="53"/>
  <c r="E10" i="53"/>
  <c r="I9" i="53"/>
  <c r="H9" i="53"/>
  <c r="G9" i="53"/>
  <c r="F9" i="53"/>
  <c r="E9" i="53"/>
  <c r="N28" i="53"/>
  <c r="M28" i="53"/>
  <c r="L28" i="53"/>
  <c r="K28" i="53"/>
  <c r="J28" i="53"/>
  <c r="I8" i="53"/>
  <c r="I28" i="53" s="1"/>
  <c r="H8" i="53"/>
  <c r="G8" i="53"/>
  <c r="F8" i="53"/>
  <c r="E8" i="53"/>
  <c r="N12" i="53"/>
  <c r="M26" i="53"/>
  <c r="L12" i="53"/>
  <c r="K26" i="53"/>
  <c r="J12" i="53"/>
  <c r="I7" i="53"/>
  <c r="I26" i="53" s="1"/>
  <c r="H7" i="53"/>
  <c r="H12" i="53" s="1"/>
  <c r="G7" i="53"/>
  <c r="F7" i="53"/>
  <c r="F12" i="53" s="1"/>
  <c r="E7" i="53"/>
  <c r="E12" i="53" l="1"/>
  <c r="G12" i="53"/>
  <c r="J32" i="53"/>
  <c r="L32" i="53"/>
  <c r="O32" i="53"/>
  <c r="I12" i="53"/>
  <c r="K12" i="53"/>
  <c r="M12" i="53"/>
  <c r="J26" i="53"/>
  <c r="L26" i="53"/>
  <c r="N26" i="53"/>
  <c r="D3" i="69" l="1"/>
  <c r="D14" i="28" l="1"/>
  <c r="D12" i="28" s="1"/>
  <c r="I14" i="28"/>
  <c r="I12" i="28"/>
  <c r="U17" i="17" l="1"/>
  <c r="T7" i="17"/>
  <c r="N22" i="17"/>
  <c r="L22" i="17"/>
  <c r="Q22" i="17"/>
  <c r="H22" i="17"/>
  <c r="I22" i="17"/>
  <c r="K22" i="17"/>
  <c r="F22" i="17"/>
  <c r="B22" i="17"/>
  <c r="C22" i="17"/>
  <c r="E22" i="17"/>
  <c r="G7" i="17"/>
  <c r="D20" i="17"/>
  <c r="G18" i="17"/>
  <c r="D14" i="17"/>
  <c r="G19" i="62" l="1"/>
  <c r="H18" i="62"/>
  <c r="F18" i="62"/>
  <c r="H17" i="62"/>
  <c r="E17" i="62"/>
  <c r="D17" i="62"/>
  <c r="C17" i="62"/>
  <c r="B17" i="62"/>
  <c r="H16" i="62"/>
  <c r="E16" i="62"/>
  <c r="D16" i="62"/>
  <c r="C16" i="62"/>
  <c r="B16" i="62"/>
  <c r="H15" i="62"/>
  <c r="E15" i="62"/>
  <c r="D15" i="62"/>
  <c r="C15" i="62"/>
  <c r="B15" i="62"/>
  <c r="H14" i="62"/>
  <c r="E14" i="62"/>
  <c r="D14" i="62"/>
  <c r="C14" i="62"/>
  <c r="B14" i="62"/>
  <c r="H13" i="62"/>
  <c r="E13" i="62"/>
  <c r="D13" i="62"/>
  <c r="C13" i="62"/>
  <c r="B13" i="62"/>
  <c r="H12" i="62"/>
  <c r="E12" i="62"/>
  <c r="D12" i="62"/>
  <c r="C12" i="62"/>
  <c r="B12" i="62"/>
  <c r="H11" i="62"/>
  <c r="E11" i="62"/>
  <c r="D11" i="62"/>
  <c r="C11" i="62"/>
  <c r="B11" i="62"/>
  <c r="H10" i="62"/>
  <c r="E10" i="62"/>
  <c r="D10" i="62"/>
  <c r="C10" i="62"/>
  <c r="B10" i="62"/>
  <c r="H9" i="62"/>
  <c r="E9" i="62"/>
  <c r="D9" i="62"/>
  <c r="C9" i="62"/>
  <c r="B9" i="62"/>
  <c r="H8" i="62"/>
  <c r="E8" i="62"/>
  <c r="D8" i="62"/>
  <c r="C8" i="62"/>
  <c r="B8" i="62"/>
  <c r="H7" i="62"/>
  <c r="E7" i="62"/>
  <c r="D7" i="62"/>
  <c r="C7" i="62"/>
  <c r="B7" i="62"/>
  <c r="P51" i="60"/>
  <c r="O51" i="60"/>
  <c r="N51" i="60"/>
  <c r="M51" i="60"/>
  <c r="M54" i="60" s="1"/>
  <c r="L51" i="60"/>
  <c r="L54" i="60" s="1"/>
  <c r="K51" i="60"/>
  <c r="K54" i="60" s="1"/>
  <c r="J51" i="60"/>
  <c r="J54" i="60" s="1"/>
  <c r="V50" i="60"/>
  <c r="U50" i="60"/>
  <c r="T50" i="60"/>
  <c r="S50" i="60"/>
  <c r="R50" i="60"/>
  <c r="Q50" i="60"/>
  <c r="V48" i="60"/>
  <c r="U48" i="60"/>
  <c r="T48" i="60"/>
  <c r="S48" i="60"/>
  <c r="R48" i="60"/>
  <c r="Q48" i="60"/>
  <c r="V47" i="60"/>
  <c r="U47" i="60"/>
  <c r="T47" i="60"/>
  <c r="S47" i="60"/>
  <c r="R47" i="60"/>
  <c r="Q47" i="60"/>
  <c r="V44" i="60"/>
  <c r="U44" i="60"/>
  <c r="T44" i="60"/>
  <c r="S44" i="60"/>
  <c r="R44" i="60"/>
  <c r="Q44" i="60"/>
  <c r="V43" i="60"/>
  <c r="U43" i="60"/>
  <c r="T43" i="60"/>
  <c r="S43" i="60"/>
  <c r="R43" i="60"/>
  <c r="Q43" i="60"/>
  <c r="V40" i="60"/>
  <c r="U40" i="60"/>
  <c r="T40" i="60"/>
  <c r="S40" i="60"/>
  <c r="R40" i="60"/>
  <c r="Q40" i="60"/>
  <c r="V39" i="60"/>
  <c r="U39" i="60"/>
  <c r="T39" i="60"/>
  <c r="S39" i="60"/>
  <c r="R39" i="60"/>
  <c r="Q39" i="60"/>
  <c r="W37" i="60"/>
  <c r="V37" i="60"/>
  <c r="U37" i="60"/>
  <c r="T37" i="60"/>
  <c r="S37" i="60"/>
  <c r="R37" i="60"/>
  <c r="Q37" i="60"/>
  <c r="V36" i="60"/>
  <c r="U36" i="60"/>
  <c r="T36" i="60"/>
  <c r="S36" i="60"/>
  <c r="R36" i="60"/>
  <c r="Q36" i="60"/>
  <c r="W34" i="60"/>
  <c r="V34" i="60"/>
  <c r="U34" i="60"/>
  <c r="T34" i="60"/>
  <c r="S34" i="60"/>
  <c r="R34" i="60"/>
  <c r="Q34" i="60"/>
  <c r="V33" i="60"/>
  <c r="U33" i="60"/>
  <c r="T33" i="60"/>
  <c r="S33" i="60"/>
  <c r="R33" i="60"/>
  <c r="Q33" i="60"/>
  <c r="W31" i="60"/>
  <c r="V31" i="60"/>
  <c r="U31" i="60"/>
  <c r="T31" i="60"/>
  <c r="S31" i="60"/>
  <c r="R31" i="60"/>
  <c r="Q31" i="60"/>
  <c r="V30" i="60"/>
  <c r="U30" i="60"/>
  <c r="T30" i="60"/>
  <c r="S30" i="60"/>
  <c r="R30" i="60"/>
  <c r="Q30" i="60"/>
  <c r="W28" i="60"/>
  <c r="V28" i="60"/>
  <c r="U28" i="60"/>
  <c r="T28" i="60"/>
  <c r="S28" i="60"/>
  <c r="R28" i="60"/>
  <c r="Q28" i="60"/>
  <c r="W23" i="60"/>
  <c r="O23" i="60"/>
  <c r="O20" i="60"/>
  <c r="W16" i="60"/>
  <c r="V16" i="60"/>
  <c r="P16" i="60"/>
  <c r="O16" i="60"/>
  <c r="N16" i="60"/>
  <c r="U15" i="60"/>
  <c r="T15" i="60"/>
  <c r="S15" i="60"/>
  <c r="R15" i="60"/>
  <c r="Q15" i="60"/>
  <c r="U14" i="60"/>
  <c r="T14" i="60"/>
  <c r="S14" i="60"/>
  <c r="R14" i="60"/>
  <c r="Q14" i="60"/>
  <c r="W13" i="60"/>
  <c r="V13" i="60"/>
  <c r="U13" i="60"/>
  <c r="T13" i="60"/>
  <c r="S13" i="60"/>
  <c r="R13" i="60"/>
  <c r="Q13" i="60"/>
  <c r="P13" i="60"/>
  <c r="O13" i="60"/>
  <c r="N13" i="60"/>
  <c r="W10" i="60"/>
  <c r="V10" i="60"/>
  <c r="U10" i="60"/>
  <c r="T10" i="60"/>
  <c r="S10" i="60"/>
  <c r="R10" i="60"/>
  <c r="Q10" i="60"/>
  <c r="P10" i="60"/>
  <c r="O10" i="60"/>
  <c r="F33" i="72"/>
  <c r="F32" i="72"/>
  <c r="F30" i="72"/>
  <c r="A30" i="72"/>
  <c r="F29" i="72"/>
  <c r="A29" i="72"/>
  <c r="F27" i="72"/>
  <c r="F26" i="72"/>
  <c r="F24" i="72"/>
  <c r="F23" i="72"/>
  <c r="F21" i="72"/>
  <c r="F20" i="72"/>
  <c r="F18" i="72"/>
  <c r="F17" i="72"/>
  <c r="F15" i="72"/>
  <c r="F14" i="72"/>
  <c r="F12" i="72"/>
  <c r="F11" i="72"/>
  <c r="F9" i="72"/>
  <c r="F8" i="72"/>
  <c r="F6" i="72"/>
  <c r="F5" i="72"/>
  <c r="F47" i="59"/>
  <c r="F46" i="59"/>
  <c r="F44" i="59"/>
  <c r="A44" i="59"/>
  <c r="F43" i="59"/>
  <c r="A43" i="59"/>
  <c r="F41" i="59"/>
  <c r="F40" i="59"/>
  <c r="F38" i="59"/>
  <c r="F37" i="59"/>
  <c r="F35" i="59"/>
  <c r="F34" i="59"/>
  <c r="F32" i="59"/>
  <c r="F31" i="59"/>
  <c r="F29" i="59"/>
  <c r="F28" i="59"/>
  <c r="F26" i="59"/>
  <c r="F25" i="59"/>
  <c r="F23" i="59"/>
  <c r="F22" i="59"/>
  <c r="F20" i="59"/>
  <c r="F19" i="59"/>
  <c r="E16" i="59"/>
  <c r="E15" i="59"/>
  <c r="E14" i="59"/>
  <c r="E13" i="59"/>
  <c r="E12" i="59"/>
  <c r="E11" i="59"/>
  <c r="E10" i="59"/>
  <c r="E9" i="59"/>
  <c r="E8" i="59"/>
  <c r="E7" i="59"/>
  <c r="D15" i="56"/>
  <c r="E13" i="56"/>
  <c r="E12" i="56"/>
  <c r="E11" i="56"/>
  <c r="E10" i="56"/>
  <c r="E9" i="56"/>
  <c r="E8" i="56"/>
  <c r="D6" i="31"/>
  <c r="G4" i="49"/>
  <c r="F4" i="49"/>
  <c r="E4" i="49"/>
  <c r="D4" i="49"/>
  <c r="C4" i="49"/>
  <c r="B4" i="49"/>
  <c r="R16" i="60" l="1"/>
  <c r="T16" i="60"/>
  <c r="R51" i="60"/>
  <c r="T51" i="60"/>
  <c r="V51" i="60"/>
  <c r="I9" i="62"/>
  <c r="I13" i="62"/>
  <c r="I17" i="62"/>
  <c r="I18" i="62"/>
  <c r="F7" i="62"/>
  <c r="H19" i="62"/>
  <c r="F9" i="62"/>
  <c r="F11" i="62"/>
  <c r="I11" i="62" s="1"/>
  <c r="F13" i="62"/>
  <c r="F15" i="62"/>
  <c r="I15" i="62" s="1"/>
  <c r="F17" i="62"/>
  <c r="V54" i="60"/>
  <c r="O54" i="60"/>
  <c r="Q16" i="60"/>
  <c r="S16" i="60"/>
  <c r="U16" i="60"/>
  <c r="Q51" i="60"/>
  <c r="S51" i="60"/>
  <c r="S54" i="60" s="1"/>
  <c r="U51" i="60"/>
  <c r="W51" i="60"/>
  <c r="W54" i="60" s="1"/>
  <c r="N54" i="60"/>
  <c r="P54" i="60"/>
  <c r="F8" i="62"/>
  <c r="I8" i="62" s="1"/>
  <c r="F10" i="62"/>
  <c r="I10" i="62" s="1"/>
  <c r="F12" i="62"/>
  <c r="F14" i="62"/>
  <c r="I14" i="62" s="1"/>
  <c r="F16" i="62"/>
  <c r="I16" i="62" s="1"/>
  <c r="R54" i="60"/>
  <c r="T54" i="60"/>
  <c r="Q54" i="60"/>
  <c r="U54" i="60"/>
  <c r="H8" i="27"/>
  <c r="G8" i="27"/>
  <c r="F8" i="27"/>
  <c r="F19" i="62" l="1"/>
  <c r="I19" i="62" s="1"/>
  <c r="H6" i="27"/>
  <c r="G6" i="27"/>
  <c r="F6" i="27"/>
  <c r="F7" i="27" s="1"/>
  <c r="E6" i="27"/>
  <c r="D6" i="27"/>
  <c r="C6" i="27"/>
  <c r="M7" i="26"/>
  <c r="L7" i="26"/>
  <c r="K7" i="26"/>
  <c r="J7" i="26"/>
  <c r="I7" i="26"/>
  <c r="H7" i="26"/>
  <c r="G7" i="26"/>
  <c r="F7" i="26"/>
  <c r="E7" i="26"/>
  <c r="D7" i="26"/>
  <c r="C9" i="27" l="1"/>
  <c r="C7" i="27"/>
  <c r="E9" i="27"/>
  <c r="E7" i="27"/>
  <c r="G7" i="27"/>
  <c r="G9" i="27"/>
  <c r="D7" i="27"/>
  <c r="D9" i="27"/>
  <c r="H7" i="27"/>
  <c r="H9" i="27"/>
  <c r="F9" i="27"/>
  <c r="C20" i="44"/>
  <c r="N19" i="44"/>
  <c r="O19" i="44" s="1"/>
  <c r="M19" i="44"/>
  <c r="K19" i="44"/>
  <c r="I19" i="44"/>
  <c r="G19" i="44"/>
  <c r="E19" i="44"/>
  <c r="M18" i="44"/>
  <c r="K18" i="44"/>
  <c r="H18" i="44"/>
  <c r="I18" i="44" s="1"/>
  <c r="G18" i="44"/>
  <c r="E18" i="44"/>
  <c r="M17" i="44"/>
  <c r="K17" i="44"/>
  <c r="H17" i="44"/>
  <c r="I17" i="44" s="1"/>
  <c r="G17" i="44"/>
  <c r="E17" i="44"/>
  <c r="L16" i="44"/>
  <c r="M16" i="44" s="1"/>
  <c r="J16" i="44"/>
  <c r="K16" i="44" s="1"/>
  <c r="I16" i="44"/>
  <c r="F16" i="44"/>
  <c r="F20" i="44" s="1"/>
  <c r="D16" i="44"/>
  <c r="D20" i="44" s="1"/>
  <c r="L15" i="44"/>
  <c r="M15" i="44" s="1"/>
  <c r="K15" i="44"/>
  <c r="M14" i="44"/>
  <c r="K14" i="44"/>
  <c r="H14" i="44"/>
  <c r="I14" i="44" s="1"/>
  <c r="M13" i="44"/>
  <c r="K13" i="44"/>
  <c r="H13" i="44"/>
  <c r="I13" i="44" s="1"/>
  <c r="M12" i="44"/>
  <c r="K12" i="44"/>
  <c r="H12" i="44"/>
  <c r="I12" i="44" s="1"/>
  <c r="L11" i="44"/>
  <c r="M11" i="44" s="1"/>
  <c r="K11" i="44"/>
  <c r="M10" i="44"/>
  <c r="K10" i="44"/>
  <c r="H10" i="44"/>
  <c r="N10" i="44" s="1"/>
  <c r="O10" i="44" s="1"/>
  <c r="M9" i="44"/>
  <c r="K9" i="44"/>
  <c r="H9" i="44"/>
  <c r="N9" i="44" s="1"/>
  <c r="O9" i="44" s="1"/>
  <c r="M8" i="44"/>
  <c r="K8" i="44"/>
  <c r="H8" i="44"/>
  <c r="M7" i="44"/>
  <c r="K7" i="44"/>
  <c r="H7" i="44"/>
  <c r="N7" i="44" s="1"/>
  <c r="K19" i="38"/>
  <c r="J19" i="38"/>
  <c r="G19" i="38"/>
  <c r="E19" i="38"/>
  <c r="D19" i="38"/>
  <c r="B19" i="38"/>
  <c r="N18" i="38"/>
  <c r="H18" i="38"/>
  <c r="F18" i="38"/>
  <c r="C18" i="38"/>
  <c r="N17" i="38"/>
  <c r="H17" i="38"/>
  <c r="L17" i="38" s="1"/>
  <c r="F17" i="38"/>
  <c r="C17" i="38"/>
  <c r="N16" i="38"/>
  <c r="H16" i="38"/>
  <c r="F16" i="38"/>
  <c r="C16" i="38"/>
  <c r="N15" i="38"/>
  <c r="H15" i="38"/>
  <c r="L15" i="38" s="1"/>
  <c r="F15" i="38"/>
  <c r="C15" i="38"/>
  <c r="N14" i="38"/>
  <c r="H14" i="38"/>
  <c r="F14" i="38"/>
  <c r="C14" i="38"/>
  <c r="N13" i="38"/>
  <c r="H13" i="38"/>
  <c r="L13" i="38" s="1"/>
  <c r="F13" i="38"/>
  <c r="C13" i="38"/>
  <c r="N12" i="38"/>
  <c r="H12" i="38"/>
  <c r="F12" i="38"/>
  <c r="C12" i="38"/>
  <c r="N11" i="38"/>
  <c r="H11" i="38"/>
  <c r="L11" i="38" s="1"/>
  <c r="F11" i="38"/>
  <c r="C11" i="38"/>
  <c r="N10" i="38"/>
  <c r="H10" i="38"/>
  <c r="F10" i="38"/>
  <c r="C10" i="38"/>
  <c r="M10" i="38" s="1"/>
  <c r="N9" i="38"/>
  <c r="H9" i="38"/>
  <c r="L9" i="38" s="1"/>
  <c r="F9" i="38"/>
  <c r="C9" i="38"/>
  <c r="N8" i="38"/>
  <c r="H8" i="38"/>
  <c r="F8" i="38"/>
  <c r="C8" i="38"/>
  <c r="N7" i="38"/>
  <c r="H7" i="38"/>
  <c r="F7" i="38"/>
  <c r="C7" i="38"/>
  <c r="N6" i="38"/>
  <c r="H6" i="38"/>
  <c r="H19" i="38" s="1"/>
  <c r="F6" i="38"/>
  <c r="C6" i="38"/>
  <c r="M6" i="38" s="1"/>
  <c r="K14" i="71"/>
  <c r="J14" i="71"/>
  <c r="G14" i="71"/>
  <c r="E14" i="71"/>
  <c r="D14" i="71"/>
  <c r="B14" i="71"/>
  <c r="N13" i="71"/>
  <c r="H13" i="71"/>
  <c r="F13" i="71"/>
  <c r="C13" i="71"/>
  <c r="N12" i="71"/>
  <c r="H12" i="71"/>
  <c r="L12" i="71" s="1"/>
  <c r="F12" i="71"/>
  <c r="C12" i="71"/>
  <c r="N11" i="71"/>
  <c r="H11" i="71"/>
  <c r="F11" i="71"/>
  <c r="C11" i="71"/>
  <c r="N10" i="71"/>
  <c r="H10" i="71"/>
  <c r="L10" i="71" s="1"/>
  <c r="F10" i="71"/>
  <c r="C10" i="71"/>
  <c r="N9" i="71"/>
  <c r="H9" i="71"/>
  <c r="F9" i="71"/>
  <c r="C9" i="71"/>
  <c r="N8" i="71"/>
  <c r="H8" i="71"/>
  <c r="L8" i="71" s="1"/>
  <c r="F8" i="71"/>
  <c r="C8" i="71"/>
  <c r="N7" i="71"/>
  <c r="H7" i="71"/>
  <c r="F7" i="71"/>
  <c r="C7" i="71"/>
  <c r="N6" i="71"/>
  <c r="H6" i="71"/>
  <c r="L6" i="71" s="1"/>
  <c r="F6" i="71"/>
  <c r="C6" i="71"/>
  <c r="N5" i="71"/>
  <c r="N14" i="71" s="1"/>
  <c r="H5" i="71"/>
  <c r="F5" i="71"/>
  <c r="C5" i="71"/>
  <c r="G13" i="37"/>
  <c r="E13" i="37"/>
  <c r="D13" i="37"/>
  <c r="B13" i="37"/>
  <c r="K12" i="37"/>
  <c r="H12" i="37"/>
  <c r="F12" i="37"/>
  <c r="C12" i="37"/>
  <c r="K11" i="37"/>
  <c r="H11" i="37"/>
  <c r="F11" i="37"/>
  <c r="C11" i="37"/>
  <c r="K10" i="37"/>
  <c r="H10" i="37"/>
  <c r="F10" i="37"/>
  <c r="C10" i="37"/>
  <c r="K9" i="37"/>
  <c r="H9" i="37"/>
  <c r="F9" i="37"/>
  <c r="C9" i="37"/>
  <c r="K8" i="37"/>
  <c r="H8" i="37"/>
  <c r="F8" i="37"/>
  <c r="C8" i="37"/>
  <c r="K7" i="37"/>
  <c r="H7" i="37"/>
  <c r="F7" i="37"/>
  <c r="C7" i="37"/>
  <c r="K6" i="37"/>
  <c r="H6" i="37"/>
  <c r="F6" i="37"/>
  <c r="C6" i="37"/>
  <c r="K5" i="37"/>
  <c r="H5" i="37"/>
  <c r="F5" i="37"/>
  <c r="C5" i="37"/>
  <c r="S5" i="70"/>
  <c r="R5" i="70"/>
  <c r="Q5" i="70"/>
  <c r="P5" i="70"/>
  <c r="O5" i="70"/>
  <c r="N5" i="70"/>
  <c r="M5" i="70"/>
  <c r="L5" i="70"/>
  <c r="K5" i="70"/>
  <c r="J5" i="70"/>
  <c r="I5" i="70"/>
  <c r="H5" i="70"/>
  <c r="G5" i="70"/>
  <c r="F5" i="70"/>
  <c r="E5" i="70"/>
  <c r="D5" i="70"/>
  <c r="B13" i="36"/>
  <c r="C3" i="36" s="1"/>
  <c r="C10" i="69"/>
  <c r="D9" i="69"/>
  <c r="D8" i="69"/>
  <c r="D7" i="69"/>
  <c r="D6" i="69"/>
  <c r="D5" i="69"/>
  <c r="D4" i="69"/>
  <c r="G8" i="35"/>
  <c r="F8" i="35"/>
  <c r="E8" i="35"/>
  <c r="D8" i="35"/>
  <c r="C8" i="35"/>
  <c r="B8" i="35"/>
  <c r="N11" i="34"/>
  <c r="O11" i="34" s="1"/>
  <c r="L11" i="34"/>
  <c r="B11" i="34"/>
  <c r="M10" i="34"/>
  <c r="K10" i="34"/>
  <c r="I10" i="34"/>
  <c r="G10" i="34"/>
  <c r="O9" i="34"/>
  <c r="M9" i="34"/>
  <c r="K9" i="34"/>
  <c r="I9" i="34"/>
  <c r="G9" i="34"/>
  <c r="O8" i="34"/>
  <c r="M8" i="34"/>
  <c r="K8" i="34"/>
  <c r="J8" i="34"/>
  <c r="J11" i="34" s="1"/>
  <c r="I8" i="34"/>
  <c r="H8" i="34"/>
  <c r="H11" i="34" s="1"/>
  <c r="G8" i="34"/>
  <c r="F8" i="34"/>
  <c r="F11" i="34" s="1"/>
  <c r="O7" i="34"/>
  <c r="M7" i="34"/>
  <c r="K7" i="34"/>
  <c r="K11" i="34" s="1"/>
  <c r="I7" i="34"/>
  <c r="G7" i="34"/>
  <c r="G11" i="34" s="1"/>
  <c r="H14" i="28"/>
  <c r="G14" i="28"/>
  <c r="F14" i="28"/>
  <c r="E14" i="28"/>
  <c r="H12" i="28"/>
  <c r="H8" i="28" s="1"/>
  <c r="G12" i="28"/>
  <c r="F12" i="28"/>
  <c r="F8" i="28" s="1"/>
  <c r="E12" i="28"/>
  <c r="E8" i="28" s="1"/>
  <c r="I8" i="28"/>
  <c r="G8" i="28"/>
  <c r="D8" i="28"/>
  <c r="C10" i="36" l="1"/>
  <c r="C6" i="36"/>
  <c r="D10" i="69"/>
  <c r="C12" i="36"/>
  <c r="C8" i="36"/>
  <c r="C4" i="36"/>
  <c r="C8" i="34"/>
  <c r="C10" i="34"/>
  <c r="C9" i="34"/>
  <c r="C7" i="34"/>
  <c r="I11" i="34"/>
  <c r="M11" i="34"/>
  <c r="C2" i="36"/>
  <c r="C11" i="36"/>
  <c r="C9" i="36"/>
  <c r="C7" i="36"/>
  <c r="C5" i="36"/>
  <c r="H11" i="44"/>
  <c r="G20" i="44"/>
  <c r="E20" i="44"/>
  <c r="M17" i="38"/>
  <c r="M13" i="38"/>
  <c r="M9" i="38"/>
  <c r="M18" i="38"/>
  <c r="F19" i="38"/>
  <c r="M14" i="38"/>
  <c r="I9" i="38"/>
  <c r="I11" i="38"/>
  <c r="I13" i="38"/>
  <c r="I17" i="38"/>
  <c r="I8" i="38"/>
  <c r="I10" i="38"/>
  <c r="I12" i="38"/>
  <c r="I14" i="38"/>
  <c r="I16" i="38"/>
  <c r="I18" i="38"/>
  <c r="I15" i="38"/>
  <c r="I6" i="38"/>
  <c r="L7" i="38"/>
  <c r="I7" i="38"/>
  <c r="M13" i="71"/>
  <c r="M12" i="71"/>
  <c r="M11" i="71"/>
  <c r="M7" i="71"/>
  <c r="F14" i="71"/>
  <c r="M6" i="71"/>
  <c r="J11" i="37"/>
  <c r="J9" i="37"/>
  <c r="J7" i="37"/>
  <c r="K13" i="37"/>
  <c r="C13" i="37"/>
  <c r="H13" i="37"/>
  <c r="I5" i="37" s="1"/>
  <c r="I7" i="44"/>
  <c r="I8" i="44"/>
  <c r="I9" i="44"/>
  <c r="I10" i="44"/>
  <c r="E16" i="44"/>
  <c r="G16" i="44"/>
  <c r="N19" i="38"/>
  <c r="M7" i="38"/>
  <c r="M8" i="38"/>
  <c r="M11" i="38"/>
  <c r="M12" i="38"/>
  <c r="M15" i="38"/>
  <c r="M16" i="38"/>
  <c r="M5" i="71"/>
  <c r="H14" i="71"/>
  <c r="M8" i="71"/>
  <c r="M9" i="71"/>
  <c r="M10" i="71"/>
  <c r="F13" i="37"/>
  <c r="J6" i="37"/>
  <c r="J8" i="37"/>
  <c r="J10" i="37"/>
  <c r="J12" i="37"/>
  <c r="O7" i="44"/>
  <c r="N11" i="44"/>
  <c r="O11" i="44" s="1"/>
  <c r="I11" i="44"/>
  <c r="N12" i="44"/>
  <c r="O12" i="44" s="1"/>
  <c r="N13" i="44"/>
  <c r="O13" i="44" s="1"/>
  <c r="N14" i="44"/>
  <c r="O14" i="44" s="1"/>
  <c r="H15" i="44"/>
  <c r="N16" i="44"/>
  <c r="O16" i="44" s="1"/>
  <c r="N17" i="44"/>
  <c r="O17" i="44" s="1"/>
  <c r="N18" i="44"/>
  <c r="O18" i="44" s="1"/>
  <c r="H20" i="44"/>
  <c r="I20" i="44" s="1"/>
  <c r="J20" i="44"/>
  <c r="K20" i="44" s="1"/>
  <c r="L20" i="44"/>
  <c r="M20" i="44" s="1"/>
  <c r="N8" i="44"/>
  <c r="O8" i="44" s="1"/>
  <c r="L6" i="38"/>
  <c r="L8" i="38"/>
  <c r="L10" i="38"/>
  <c r="L12" i="38"/>
  <c r="L14" i="38"/>
  <c r="L16" i="38"/>
  <c r="L18" i="38"/>
  <c r="C19" i="38"/>
  <c r="L5" i="71"/>
  <c r="L7" i="71"/>
  <c r="L9" i="71"/>
  <c r="L11" i="71"/>
  <c r="L13" i="71"/>
  <c r="C14" i="71"/>
  <c r="J5" i="37"/>
  <c r="I12" i="37" l="1"/>
  <c r="I10" i="37"/>
  <c r="I8" i="37"/>
  <c r="I6" i="37"/>
  <c r="C11" i="34"/>
  <c r="C13" i="36"/>
  <c r="I11" i="37"/>
  <c r="I9" i="37"/>
  <c r="I7" i="37"/>
  <c r="I13" i="37" s="1"/>
  <c r="M19" i="38"/>
  <c r="M14" i="71"/>
  <c r="I7" i="71"/>
  <c r="I9" i="71"/>
  <c r="I11" i="71"/>
  <c r="I13" i="71"/>
  <c r="I6" i="71"/>
  <c r="I8" i="71"/>
  <c r="I10" i="71"/>
  <c r="I12" i="71"/>
  <c r="I5" i="71"/>
  <c r="J13" i="37"/>
  <c r="I19" i="38"/>
  <c r="N15" i="44"/>
  <c r="O15" i="44" s="1"/>
  <c r="I15" i="44"/>
  <c r="N20" i="44"/>
  <c r="O20" i="44" s="1"/>
  <c r="L19" i="38"/>
  <c r="L14" i="71"/>
  <c r="I14" i="71" l="1"/>
  <c r="S42" i="18"/>
  <c r="R42" i="18"/>
  <c r="Q42" i="18"/>
  <c r="P42" i="18"/>
  <c r="O42" i="18"/>
  <c r="S40" i="18"/>
  <c r="R40" i="18"/>
  <c r="Q40" i="18"/>
  <c r="P40" i="18"/>
  <c r="O40" i="18"/>
  <c r="T10" i="18"/>
  <c r="S10" i="18"/>
  <c r="R10" i="18"/>
  <c r="Q10" i="18"/>
  <c r="P10" i="18"/>
  <c r="O10" i="18"/>
  <c r="N10" i="18"/>
  <c r="M10" i="18"/>
  <c r="L10" i="18"/>
  <c r="K10" i="18"/>
  <c r="J10" i="18"/>
  <c r="I10" i="18"/>
  <c r="H10" i="18"/>
  <c r="G10" i="18"/>
  <c r="F10" i="18"/>
  <c r="E10" i="18"/>
  <c r="D10" i="18"/>
  <c r="C10" i="18"/>
  <c r="B10" i="18"/>
  <c r="T9" i="18"/>
  <c r="T36" i="18" s="1"/>
  <c r="S9" i="18"/>
  <c r="S36" i="18" s="1"/>
  <c r="R9" i="18"/>
  <c r="R36" i="18" s="1"/>
  <c r="Q9" i="18"/>
  <c r="Q36" i="18" s="1"/>
  <c r="P9" i="18"/>
  <c r="P36" i="18" s="1"/>
  <c r="O9" i="18"/>
  <c r="O36" i="18" s="1"/>
  <c r="N9" i="18"/>
  <c r="N36" i="18" s="1"/>
  <c r="M9" i="18"/>
  <c r="M36" i="18" s="1"/>
  <c r="L9" i="18"/>
  <c r="L36" i="18" s="1"/>
  <c r="K9" i="18"/>
  <c r="K36" i="18" s="1"/>
  <c r="J9" i="18"/>
  <c r="J36" i="18" s="1"/>
  <c r="I9" i="18"/>
  <c r="I36" i="18" s="1"/>
  <c r="H9" i="18"/>
  <c r="H36" i="18" s="1"/>
  <c r="G9" i="18"/>
  <c r="G36" i="18" s="1"/>
  <c r="F9" i="18"/>
  <c r="E9" i="18"/>
  <c r="E36" i="18" s="1"/>
  <c r="D9" i="18"/>
  <c r="D36" i="18" s="1"/>
  <c r="C9" i="18"/>
  <c r="B9" i="18"/>
  <c r="R22" i="17"/>
  <c r="O22" i="17"/>
  <c r="U21" i="17"/>
  <c r="T21" i="17"/>
  <c r="V21" i="17" s="1"/>
  <c r="S21" i="17"/>
  <c r="P21" i="17"/>
  <c r="M21" i="17"/>
  <c r="J21" i="17"/>
  <c r="G21" i="17"/>
  <c r="D21" i="17"/>
  <c r="U20" i="17"/>
  <c r="T20" i="17"/>
  <c r="V20" i="17" s="1"/>
  <c r="S20" i="17"/>
  <c r="P20" i="17"/>
  <c r="M20" i="17"/>
  <c r="J20" i="17"/>
  <c r="G20" i="17"/>
  <c r="U19" i="17"/>
  <c r="T19" i="17"/>
  <c r="S19" i="17"/>
  <c r="P19" i="17"/>
  <c r="M19" i="17"/>
  <c r="J19" i="17"/>
  <c r="G19" i="17"/>
  <c r="D19" i="17"/>
  <c r="U18" i="17"/>
  <c r="T18" i="17"/>
  <c r="S18" i="17"/>
  <c r="P18" i="17"/>
  <c r="M18" i="17"/>
  <c r="J18" i="17"/>
  <c r="D18" i="17"/>
  <c r="T17" i="17"/>
  <c r="V17" i="17" s="1"/>
  <c r="S17" i="17"/>
  <c r="P17" i="17"/>
  <c r="M17" i="17"/>
  <c r="J17" i="17"/>
  <c r="G17" i="17"/>
  <c r="D17" i="17"/>
  <c r="U16" i="17"/>
  <c r="T16" i="17"/>
  <c r="S16" i="17"/>
  <c r="P16" i="17"/>
  <c r="M16" i="17"/>
  <c r="J16" i="17"/>
  <c r="G16" i="17"/>
  <c r="D16" i="17"/>
  <c r="U15" i="17"/>
  <c r="T15" i="17"/>
  <c r="S15" i="17"/>
  <c r="P15" i="17"/>
  <c r="M15" i="17"/>
  <c r="J15" i="17"/>
  <c r="G15" i="17"/>
  <c r="D15" i="17"/>
  <c r="U14" i="17"/>
  <c r="T14" i="17"/>
  <c r="S14" i="17"/>
  <c r="P14" i="17"/>
  <c r="M14" i="17"/>
  <c r="J14" i="17"/>
  <c r="G14" i="17"/>
  <c r="U13" i="17"/>
  <c r="T13" i="17"/>
  <c r="V13" i="17" s="1"/>
  <c r="S13" i="17"/>
  <c r="P13" i="17"/>
  <c r="M13" i="17"/>
  <c r="J13" i="17"/>
  <c r="G13" i="17"/>
  <c r="D13" i="17"/>
  <c r="U12" i="17"/>
  <c r="T12" i="17"/>
  <c r="V12" i="17" s="1"/>
  <c r="S12" i="17"/>
  <c r="P12" i="17"/>
  <c r="M12" i="17"/>
  <c r="J12" i="17"/>
  <c r="G12" i="17"/>
  <c r="D12" i="17"/>
  <c r="U11" i="17"/>
  <c r="T11" i="17"/>
  <c r="V11" i="17" s="1"/>
  <c r="S11" i="17"/>
  <c r="P11" i="17"/>
  <c r="M11" i="17"/>
  <c r="J11" i="17"/>
  <c r="G11" i="17"/>
  <c r="D11" i="17"/>
  <c r="U10" i="17"/>
  <c r="T10" i="17"/>
  <c r="V10" i="17" s="1"/>
  <c r="S10" i="17"/>
  <c r="P10" i="17"/>
  <c r="M10" i="17"/>
  <c r="J10" i="17"/>
  <c r="G10" i="17"/>
  <c r="D10" i="17"/>
  <c r="U9" i="17"/>
  <c r="T9" i="17"/>
  <c r="V9" i="17" s="1"/>
  <c r="S9" i="17"/>
  <c r="P9" i="17"/>
  <c r="M9" i="17"/>
  <c r="J9" i="17"/>
  <c r="G9" i="17"/>
  <c r="D9" i="17"/>
  <c r="U8" i="17"/>
  <c r="T8" i="17"/>
  <c r="V8" i="17" s="1"/>
  <c r="S8" i="17"/>
  <c r="P8" i="17"/>
  <c r="M8" i="17"/>
  <c r="J8" i="17"/>
  <c r="G8" i="17"/>
  <c r="G22" i="17" s="1"/>
  <c r="D8" i="17"/>
  <c r="D22" i="17" s="1"/>
  <c r="U7" i="17"/>
  <c r="U22" i="17" s="1"/>
  <c r="T22" i="17"/>
  <c r="S7" i="17"/>
  <c r="S22" i="17" s="1"/>
  <c r="P7" i="17"/>
  <c r="P22" i="17" s="1"/>
  <c r="M7" i="17"/>
  <c r="M22" i="17" s="1"/>
  <c r="J7" i="17"/>
  <c r="J22" i="17" s="1"/>
  <c r="C10" i="3"/>
  <c r="B10" i="3"/>
  <c r="C9" i="3"/>
  <c r="B9" i="3"/>
  <c r="C8" i="3"/>
  <c r="B8" i="3"/>
  <c r="C7" i="3"/>
  <c r="B7" i="3"/>
  <c r="C6" i="3"/>
  <c r="B6" i="3"/>
  <c r="C5" i="3"/>
  <c r="B5" i="3"/>
  <c r="B11" i="3" s="1"/>
  <c r="V14" i="17" l="1"/>
  <c r="V15" i="17"/>
  <c r="V16" i="17"/>
  <c r="V18" i="17"/>
  <c r="V19" i="17"/>
  <c r="C11" i="3"/>
  <c r="V7" i="17"/>
  <c r="E11" i="73"/>
  <c r="E12" i="73"/>
  <c r="E13" i="73"/>
  <c r="E14" i="73"/>
  <c r="E15" i="73"/>
  <c r="E10" i="73"/>
  <c r="E16" i="73" s="1"/>
  <c r="V22" i="17" l="1"/>
  <c r="W7" i="17" s="1"/>
  <c r="E5" i="66"/>
  <c r="B12" i="31"/>
  <c r="D12" i="31" s="1"/>
  <c r="B11" i="31"/>
  <c r="D11" i="31" s="1"/>
  <c r="D10" i="31"/>
  <c r="D9" i="31"/>
  <c r="D8" i="31"/>
  <c r="D7" i="31"/>
  <c r="D5" i="31"/>
  <c r="D4" i="31"/>
  <c r="E51" i="48"/>
  <c r="E50" i="48"/>
  <c r="E49" i="48"/>
  <c r="E48" i="48"/>
  <c r="E47" i="48"/>
  <c r="E46" i="48"/>
  <c r="E45" i="48"/>
  <c r="E43" i="48"/>
  <c r="E42" i="48"/>
  <c r="E41" i="48"/>
  <c r="E40" i="48"/>
  <c r="E39" i="48"/>
  <c r="E38" i="48"/>
  <c r="E37" i="48"/>
  <c r="E35" i="48"/>
  <c r="E34" i="48"/>
  <c r="E33" i="48"/>
  <c r="E32" i="48"/>
  <c r="E31" i="48"/>
  <c r="E30" i="48"/>
  <c r="E29" i="48"/>
  <c r="E28" i="48"/>
  <c r="E20" i="48"/>
  <c r="E12" i="48"/>
  <c r="E52" i="48" s="1"/>
  <c r="E44" i="48" l="1"/>
  <c r="W14" i="17"/>
  <c r="W15" i="17"/>
  <c r="W22" i="17"/>
  <c r="W8" i="17"/>
  <c r="W10" i="17"/>
  <c r="W20" i="17"/>
  <c r="W17" i="17"/>
  <c r="W9" i="17"/>
  <c r="W11" i="17"/>
  <c r="W13" i="17"/>
  <c r="W21" i="17"/>
  <c r="W12" i="17"/>
  <c r="W16" i="17"/>
  <c r="W19" i="17"/>
  <c r="W18" i="17"/>
  <c r="E36" i="48"/>
  <c r="E18" i="68" l="1"/>
  <c r="E19" i="68"/>
  <c r="E21" i="68"/>
  <c r="E23" i="68"/>
  <c r="E24" i="68"/>
  <c r="D17" i="68"/>
  <c r="F6" i="68"/>
  <c r="E8" i="68"/>
  <c r="E9" i="68"/>
  <c r="E10" i="68"/>
  <c r="E11" i="68"/>
  <c r="E12" i="68"/>
  <c r="E14" i="68"/>
  <c r="E7" i="68"/>
  <c r="D26" i="68" l="1"/>
  <c r="E26" i="68" s="1"/>
  <c r="F17" i="68"/>
  <c r="F26" i="68" s="1"/>
  <c r="E20" i="68"/>
  <c r="E17" i="68"/>
</calcChain>
</file>

<file path=xl/sharedStrings.xml><?xml version="1.0" encoding="utf-8"?>
<sst xmlns="http://schemas.openxmlformats.org/spreadsheetml/2006/main" count="1089" uniqueCount="647">
  <si>
    <t xml:space="preserve">STATISTINIAI DUOMENYS </t>
  </si>
  <si>
    <t xml:space="preserve">         2012 M</t>
  </si>
  <si>
    <t>VALSTYBINIO SOCIALINIO DRAUDIMO FONDO BIUDŽETO ATASKAITA</t>
  </si>
  <si>
    <t xml:space="preserve">VALSTYBINIO SOCIALINIO DRAUDIMO DRAUDĖJAI IR  APDRAUSTIEJI   </t>
  </si>
  <si>
    <t xml:space="preserve">                       </t>
  </si>
  <si>
    <t>BENDRI  VALSTYBINIO SOCIALINIO DRAUDIMO  FONDO  BIUDŽETO RODIKLIAI</t>
  </si>
  <si>
    <t>PENSIJŲ SOCIALINIS DRAUDIMAS</t>
  </si>
  <si>
    <t xml:space="preserve">LIGOS IR MOTINYSTĖS  SOCIALINIS DRAUDIMAS </t>
  </si>
  <si>
    <t>NELAIMINGŲ ATSITIKIMŲ DARBE IR PROFESINIŲ LIGŲ SOCIALINIS DRAUDIMAS</t>
  </si>
  <si>
    <t>DALYVAVIMAS PENSIJŲ FONDUOSE</t>
  </si>
  <si>
    <t>NEDARBO SOCIALINIS DRAUDIMAS</t>
  </si>
  <si>
    <t>Įvykdymo %</t>
  </si>
  <si>
    <t>1.</t>
  </si>
  <si>
    <t>Pajamos</t>
  </si>
  <si>
    <t>1.1.</t>
  </si>
  <si>
    <t>Draudėjų valstybinio socialinio draudimo įmokos</t>
  </si>
  <si>
    <t>1.2.</t>
  </si>
  <si>
    <t>Apdraustųjų valstybinio socialinio draudimo įmokos</t>
  </si>
  <si>
    <t>1.3.</t>
  </si>
  <si>
    <t>Savarankiškai dirbančių asmenų valstybinio socialinio draudimo įmokos</t>
  </si>
  <si>
    <t>1.4.</t>
  </si>
  <si>
    <t>Valstybinio savanoriškojo socialinio draudimo įmokos</t>
  </si>
  <si>
    <t>1.5.</t>
  </si>
  <si>
    <t>1.6.</t>
  </si>
  <si>
    <t>Asignavimai iš Lietuvos Respublikos valstybės biudžeto ir kitų valstybės piniginių išteklių</t>
  </si>
  <si>
    <t>1.7.</t>
  </si>
  <si>
    <t>Atgautos į ankstesnių metų išlaidas iškeltos abejotinai atgautinos sumos</t>
  </si>
  <si>
    <t>1.8.</t>
  </si>
  <si>
    <t>Veiklos pajamos ir iš įtraukto į Fondo apskaitą turto gaunamos pajamos</t>
  </si>
  <si>
    <t>1.9.</t>
  </si>
  <si>
    <t>1.10.</t>
  </si>
  <si>
    <t>Lėšos už ES institucijų pensijų sistemoje įgytas pensines teises</t>
  </si>
  <si>
    <t>2.</t>
  </si>
  <si>
    <t>Išlaidos</t>
  </si>
  <si>
    <t>2.1.</t>
  </si>
  <si>
    <t>Pensijų socialiniam draudimui</t>
  </si>
  <si>
    <t>2.2.</t>
  </si>
  <si>
    <t>Ligos ir motinystės socialiniam draudimui</t>
  </si>
  <si>
    <t>2.3.</t>
  </si>
  <si>
    <t>Nedarbo socialiniam draudimui</t>
  </si>
  <si>
    <t>2.4.</t>
  </si>
  <si>
    <t>Nelaimingų atsitikimų darbe ir profesinių ligų socialiniam draudimui</t>
  </si>
  <si>
    <t>2.5.</t>
  </si>
  <si>
    <t>Lėšos, pervedamos į Privalomojo sveikatos draudimo fondą</t>
  </si>
  <si>
    <t>2.6.</t>
  </si>
  <si>
    <t>Lėšos, pervedamos į pensijų fondus</t>
  </si>
  <si>
    <t>2.7.</t>
  </si>
  <si>
    <t>Neatgautinos ir abejotinai atgautinos sumos</t>
  </si>
  <si>
    <t>2.8.</t>
  </si>
  <si>
    <t>Veiklos sąnaudos</t>
  </si>
  <si>
    <t>3.</t>
  </si>
  <si>
    <t>Einamųjų metų rezultatas</t>
  </si>
  <si>
    <t>Eil. nr.</t>
  </si>
  <si>
    <t xml:space="preserve">Patvirtinta
 </t>
  </si>
  <si>
    <t xml:space="preserve">Grynų pinigų srautais </t>
  </si>
  <si>
    <t>Įskaitomis ir turtu</t>
  </si>
  <si>
    <t>Iš viso</t>
  </si>
  <si>
    <t>Įprastinė veikla</t>
  </si>
  <si>
    <t>Fondo įprastinė veikla</t>
  </si>
  <si>
    <t>1.1.1.</t>
  </si>
  <si>
    <t>Pinigų įplaukos</t>
  </si>
  <si>
    <t>1.1.1.1.</t>
  </si>
  <si>
    <t>1.1.1.1.1.</t>
  </si>
  <si>
    <t>1.1.1.1.2.</t>
  </si>
  <si>
    <t>1.1.1.1.3.</t>
  </si>
  <si>
    <t>1.1.1.1.4.</t>
  </si>
  <si>
    <t>1.1.1.1.5.</t>
  </si>
  <si>
    <t>1.1.1.1.6.</t>
  </si>
  <si>
    <t>Iki 2012 m. gruodžio 31 d. sveikatos draudimui</t>
  </si>
  <si>
    <t>1.1.1.1.7.</t>
  </si>
  <si>
    <t>Pensijų ir nedarbo  socialiniam draudimui valstybės lėšomis</t>
  </si>
  <si>
    <t>1.1.1.1.7.1.</t>
  </si>
  <si>
    <t>Pensijų socialiniam draudimui valstybės lėšomis</t>
  </si>
  <si>
    <t>1.1.1.1.7.2.</t>
  </si>
  <si>
    <t>Nedarbo socialiniam draudimui valstybės lėšomis</t>
  </si>
  <si>
    <t>1.1.1.1.8.</t>
  </si>
  <si>
    <t>Nelaimingų atsitikimų darbe ir profesinių ligų socialiniam draudimui valstybės lėšomis</t>
  </si>
  <si>
    <t>1.1.1.1.9.</t>
  </si>
  <si>
    <t>Pensijų, ligos ir motinystės  socialiniam draudimui, iki 2012 m. gruodžio 31 d. sveikatos draudimui valstybės lėšomis</t>
  </si>
  <si>
    <t>1.1.1.1.9.1.</t>
  </si>
  <si>
    <t>1.1.1.1.9.2.</t>
  </si>
  <si>
    <t>Ligos ir motinystės socialiniam draudimui valstybės lėšomis</t>
  </si>
  <si>
    <t>1.1.1.1.9.3.</t>
  </si>
  <si>
    <t>Iki 2012 m. gruodžio 31 d. sveikatos draudimui valstybės lėšomis</t>
  </si>
  <si>
    <t>1.1.1.2.</t>
  </si>
  <si>
    <t>1.1.1.2.1.</t>
  </si>
  <si>
    <t>1.1.1.2.2.</t>
  </si>
  <si>
    <t>1.1.1.3.</t>
  </si>
  <si>
    <t>t.sk. privalomojo sveikatos draudimo įmokos</t>
  </si>
  <si>
    <t>1.1.1.3.1.</t>
  </si>
  <si>
    <t>Pensijos pagrindinės ir papildomos dalių draudimui</t>
  </si>
  <si>
    <t>1.1.1.3.2.</t>
  </si>
  <si>
    <t>Ligos ir motinystės socialiniam draudimui, kai draudžiama motinystės, tėvystės ir motinystės (tėvystės) pašalpoms</t>
  </si>
  <si>
    <t>1.1.1.4.</t>
  </si>
  <si>
    <t>1.1.1.5.</t>
  </si>
  <si>
    <t>Delspinigiai, palūkanos ir baudos</t>
  </si>
  <si>
    <t>1.1.1.5.1.</t>
  </si>
  <si>
    <t>Valstybinis socialinis draudimas</t>
  </si>
  <si>
    <t>1.1.1.5.2.</t>
  </si>
  <si>
    <t>Privalomasis sveikatos draudimas</t>
  </si>
  <si>
    <t>1.1.1.6.</t>
  </si>
  <si>
    <t>1.1.1.7</t>
  </si>
  <si>
    <t>Veiklos  pajamos  ir  iš įtraukto į Fondo apskaitą
turto gaunamos pajamų įplaukos</t>
  </si>
  <si>
    <t>1.1.1.8</t>
  </si>
  <si>
    <t xml:space="preserve">Iki 2012 m. gruodžio 31 d. įmokų sveikatos draudimui įplaukos iš socialinio draudimo pašalpų  </t>
  </si>
  <si>
    <t>1.1.1.9</t>
  </si>
  <si>
    <t>1.1.2.</t>
  </si>
  <si>
    <t>Pinigų išlaidos</t>
  </si>
  <si>
    <t>1.1.2.1.</t>
  </si>
  <si>
    <t>t.sk. pensijos į ES</t>
  </si>
  <si>
    <t>1.1.2.2.</t>
  </si>
  <si>
    <t>1.1.2.3.</t>
  </si>
  <si>
    <t>1.1.2.3.1.</t>
  </si>
  <si>
    <t>Nedarbo draudimo išmokos</t>
  </si>
  <si>
    <t>1.1.2.3.2.</t>
  </si>
  <si>
    <t>Užimtumo rėmimo priemonėms</t>
  </si>
  <si>
    <t>1.1.2.3.3.</t>
  </si>
  <si>
    <t>Užimtumo rėmimo politiką įgyvendinančioms įstaigoms išlaikyti ir darbo rinkos paslaugoms teikti</t>
  </si>
  <si>
    <t>1.1.2.4.</t>
  </si>
  <si>
    <t>1.1.2.5.</t>
  </si>
  <si>
    <t>Iki 2012 m. gruodžio 31 d. lėšos, pervedamos į Privalomojo sveikatos draudimo fondą</t>
  </si>
  <si>
    <t>1.1.2.6.</t>
  </si>
  <si>
    <t>1.1.2.7.</t>
  </si>
  <si>
    <t>Fondo administravimo įstaigų finansavimas</t>
  </si>
  <si>
    <t>1.1.2.8.</t>
  </si>
  <si>
    <t>Kitos Fondo veiklos sąnaudos</t>
  </si>
  <si>
    <t>Kita Fondui pavesta veikla</t>
  </si>
  <si>
    <t>1.2.1.</t>
  </si>
  <si>
    <t>1.2.1.1.</t>
  </si>
  <si>
    <t>1.2.1.2.</t>
  </si>
  <si>
    <t>Sveikatos draudimo lėšos</t>
  </si>
  <si>
    <t>1.2.1.3.</t>
  </si>
  <si>
    <t>Pensijų kaupimo dalyvių mokamos papildomos kaupiamosios pensijų įmokos</t>
  </si>
  <si>
    <t>1.2.1.4.</t>
  </si>
  <si>
    <t>1.2.1.5.</t>
  </si>
  <si>
    <t>Kitos pinigų įplaukos</t>
  </si>
  <si>
    <t>1.2.2.</t>
  </si>
  <si>
    <t>1.2.2.1.</t>
  </si>
  <si>
    <t>Lietuvos Respublikos valstybės biudžeto išmokos</t>
  </si>
  <si>
    <t>1.2.2.2.</t>
  </si>
  <si>
    <t>1.2.2.3.</t>
  </si>
  <si>
    <t>Pervedamos pensijų kaupimo dalyvių mokamos papildomos kaupiamosios pensijų įmokos</t>
  </si>
  <si>
    <t>1.2.2.4.</t>
  </si>
  <si>
    <t xml:space="preserve">Pervedamos iš Lietuvos Respublikos valstybės biudžeto lėšų už pensijų kaupimo dalyvį mokamos papildomos kaupiamosios pensijų įmokos </t>
  </si>
  <si>
    <t>1.2.2.5.</t>
  </si>
  <si>
    <t>Kitos pinigų išlaidos</t>
  </si>
  <si>
    <t>Europos sąjungos finansinės paramos lėšos</t>
  </si>
  <si>
    <t>Investicinė veikla</t>
  </si>
  <si>
    <t>Išlaidos nematerialiajam turtui įsigyti</t>
  </si>
  <si>
    <t>Įplaukos, gautos pardavus nematerialųjį turtą</t>
  </si>
  <si>
    <t>Išlaidos ilgalaikiam materialiajam turtui įsigyti</t>
  </si>
  <si>
    <t>Įplaukos, gautos pardavus ilgalaikį materialųjį turtą</t>
  </si>
  <si>
    <t>Išlaidos akcijoms, obligacijoms, kitiems vertybiniams popieriams įsigyti</t>
  </si>
  <si>
    <t>Įplaukos, gautos pardavus akcijas, obligacijas, kitus vertybinius popierius</t>
  </si>
  <si>
    <t>Finansinė veikla</t>
  </si>
  <si>
    <t>3.1.</t>
  </si>
  <si>
    <t>Gautos trumpalaikės paskolos</t>
  </si>
  <si>
    <t>3.2.</t>
  </si>
  <si>
    <t>Grąžintos trumpalaikės paskolos</t>
  </si>
  <si>
    <t>3.3.</t>
  </si>
  <si>
    <t>Gautos ilgalaikės paskolos</t>
  </si>
  <si>
    <t>3.4.</t>
  </si>
  <si>
    <t>Grąžintos ilgalaikės paskolos</t>
  </si>
  <si>
    <t>3.5.</t>
  </si>
  <si>
    <t>Įsipareigojimų pagal lizingo (finansinės nuomos) sutartis padengimas</t>
  </si>
  <si>
    <t>3.6.</t>
  </si>
  <si>
    <t>Terminuoti indėliai</t>
  </si>
  <si>
    <t>3.7.</t>
  </si>
  <si>
    <t>Teigiama valiutos kurso pasikeitimo įtaka</t>
  </si>
  <si>
    <t>3.8.</t>
  </si>
  <si>
    <t>Neigiama valiutos kurso pasikeitimo įtaka</t>
  </si>
  <si>
    <t>4.</t>
  </si>
  <si>
    <t>Grynų pinigų ir jų ekvivalentų pokytis</t>
  </si>
  <si>
    <t>5.</t>
  </si>
  <si>
    <t>Grynų pinigų ir jų ekvivalentų cirkuliacija</t>
  </si>
  <si>
    <t>5.1.</t>
  </si>
  <si>
    <t>Metų pradžioje</t>
  </si>
  <si>
    <t>5.2.</t>
  </si>
  <si>
    <t>Pokytis</t>
  </si>
  <si>
    <t>5.3.</t>
  </si>
  <si>
    <t>Metų pabaigoje</t>
  </si>
  <si>
    <t>t. sk. kaupiamosios pensijų įmokos</t>
  </si>
  <si>
    <t>5.1.1.</t>
  </si>
  <si>
    <t>5.2.1.</t>
  </si>
  <si>
    <t>5.3.1.</t>
  </si>
  <si>
    <t>Ataskaitinio laikotarpio pabaigoje</t>
  </si>
  <si>
    <t>6.</t>
  </si>
  <si>
    <t>Kasos apyvartos lėšos</t>
  </si>
  <si>
    <t>Amžiaus grupės (metai)</t>
  </si>
  <si>
    <t>Procentinis pasiskirstymas</t>
  </si>
  <si>
    <t>iki 25</t>
  </si>
  <si>
    <t>25-35</t>
  </si>
  <si>
    <t>35-45</t>
  </si>
  <si>
    <t>45-55</t>
  </si>
  <si>
    <t>55-65</t>
  </si>
  <si>
    <t>virš 65</t>
  </si>
  <si>
    <t xml:space="preserve">M </t>
  </si>
  <si>
    <t>V</t>
  </si>
  <si>
    <t>(tūkst. žm.)</t>
  </si>
  <si>
    <t>2009 m.</t>
  </si>
  <si>
    <t>2010 m.</t>
  </si>
  <si>
    <t>2011 m.</t>
  </si>
  <si>
    <t xml:space="preserve">2012 m. </t>
  </si>
  <si>
    <t xml:space="preserve">2013 m. </t>
  </si>
  <si>
    <t xml:space="preserve">2014 m. </t>
  </si>
  <si>
    <t>Iš jų: I. Apdraustieji privalomuoju draudimu:</t>
  </si>
  <si>
    <t>1.1 Asmenys, apdrausti visomis socialinio draudimo rūšimis</t>
  </si>
  <si>
    <t>1.2 Individualių įmonių savininkai</t>
  </si>
  <si>
    <t>1. 8.  Ekonomiškai silpni ūkininkai</t>
  </si>
  <si>
    <t>-</t>
  </si>
  <si>
    <t>1.10 Motinos, auginančios vaikus  iki 3 metų</t>
  </si>
  <si>
    <t>1.12 Slaugantieji neįgalų asmenį namuose, kuriam nustatytas specialus nuolatinės slaugos poreikis</t>
  </si>
  <si>
    <t>2. Apdsidraudusių papildomos pensijų dalies draudimu</t>
  </si>
  <si>
    <t xml:space="preserve">II. Savanoriškai apsidraudę asmenys </t>
  </si>
  <si>
    <t>III. Savanoriškai   pašalpoms apsidraudę asmenys</t>
  </si>
  <si>
    <t xml:space="preserve">Valstybinio socialinio draudimo  mokamų pensijų skaičius </t>
  </si>
  <si>
    <t>Apdraustųjų skaičius, tenkantis vienai pensijai</t>
  </si>
  <si>
    <t xml:space="preserve"> Apdraustųjų pensijų draudimu ir draudimu nuo nedarbo vidutinis darbo užmokestis(Lt)</t>
  </si>
  <si>
    <t xml:space="preserve">* -  išankstiniai duomenys </t>
  </si>
  <si>
    <t>Rodikliai</t>
  </si>
  <si>
    <t>I ketv.</t>
  </si>
  <si>
    <t>III ketv.</t>
  </si>
  <si>
    <t>IV ketv.</t>
  </si>
  <si>
    <t>Metai</t>
  </si>
  <si>
    <t xml:space="preserve"> </t>
  </si>
  <si>
    <t>Grįžti į turinį</t>
  </si>
  <si>
    <t>Matav.vnt.</t>
  </si>
  <si>
    <t>1999 m.</t>
  </si>
  <si>
    <t>2000 m.</t>
  </si>
  <si>
    <t>2001 m.</t>
  </si>
  <si>
    <t>2002 m.</t>
  </si>
  <si>
    <t>2003 m.</t>
  </si>
  <si>
    <t>2004 m.</t>
  </si>
  <si>
    <t>2005 m.</t>
  </si>
  <si>
    <t>2006 m.</t>
  </si>
  <si>
    <t>2007 m.</t>
  </si>
  <si>
    <t>2008 m.</t>
  </si>
  <si>
    <t>2012 m.</t>
  </si>
  <si>
    <t>2013 m.</t>
  </si>
  <si>
    <t>2014 m.</t>
  </si>
  <si>
    <t xml:space="preserve">Senatvės pensijos </t>
  </si>
  <si>
    <t xml:space="preserve">Netekto darbingumo (invalidumo) pensijos </t>
  </si>
  <si>
    <t>Našlių ir našlaičių (maitintojo netekimo) pensijos</t>
  </si>
  <si>
    <t xml:space="preserve">       - našlių</t>
  </si>
  <si>
    <t xml:space="preserve">       - našlaičių</t>
  </si>
  <si>
    <t>Ištarnauto laiko pensijos</t>
  </si>
  <si>
    <t xml:space="preserve">Kompensacijos už ypatingas darbo sąlygas </t>
  </si>
  <si>
    <t>Laidojimo išmoka mirus pensininkui</t>
  </si>
  <si>
    <t>7.</t>
  </si>
  <si>
    <t>8.</t>
  </si>
  <si>
    <t>Lėšos už Valstybinio socialinio draudimo fonde įgytas pensines teises</t>
  </si>
  <si>
    <t>9.</t>
  </si>
  <si>
    <t>Sumažintų pensijų kompensavimui</t>
  </si>
  <si>
    <t>1997 m.</t>
  </si>
  <si>
    <t>VSDF išlaidų pensijoms ir visų išlaidų santykis, proc.</t>
  </si>
  <si>
    <t>Senatvės</t>
  </si>
  <si>
    <t>Išankstinės senatvės</t>
  </si>
  <si>
    <t>Netekto darbingumo (invalidumo)</t>
  </si>
  <si>
    <t>Našlių ir našlaičių</t>
  </si>
  <si>
    <t>IŠ VISO</t>
  </si>
  <si>
    <t>2008 metai</t>
  </si>
  <si>
    <t>2007 metai</t>
  </si>
  <si>
    <t>2006 metai</t>
  </si>
  <si>
    <t>2005 metai</t>
  </si>
  <si>
    <t>2003 metai</t>
  </si>
  <si>
    <t>Našlių ir našlaičių (maitintojo netekimo)</t>
  </si>
  <si>
    <t>1995 m.</t>
  </si>
  <si>
    <t>1996 m.</t>
  </si>
  <si>
    <t>60-65</t>
  </si>
  <si>
    <t>65-70</t>
  </si>
  <si>
    <t>70-75</t>
  </si>
  <si>
    <t>75-80</t>
  </si>
  <si>
    <t>80-85</t>
  </si>
  <si>
    <t>85-90</t>
  </si>
  <si>
    <t>Virš 90</t>
  </si>
  <si>
    <t>Santykis</t>
  </si>
  <si>
    <t>Amžiaus grupės</t>
  </si>
  <si>
    <t>Vyrai</t>
  </si>
  <si>
    <t>Moterys</t>
  </si>
  <si>
    <t>Turintys būtinąjį stažą</t>
  </si>
  <si>
    <t>Neturintys būtinojo stažo</t>
  </si>
  <si>
    <t>Turinčios būtinąjį stažą</t>
  </si>
  <si>
    <t>Neturinčios būtinojo stažo</t>
  </si>
  <si>
    <t>Procentinė išaiška nuo visų senatvės pensijų gavėjų</t>
  </si>
  <si>
    <t>90-95</t>
  </si>
  <si>
    <t>Virš 95</t>
  </si>
  <si>
    <t>Procentinė išaiška nuo visų netekto darbingumo pensijų gavėjų</t>
  </si>
  <si>
    <t>75-100%</t>
  </si>
  <si>
    <t>60-70%</t>
  </si>
  <si>
    <t>45-55%</t>
  </si>
  <si>
    <t>Iki 30</t>
  </si>
  <si>
    <t>30-35</t>
  </si>
  <si>
    <t>35-40</t>
  </si>
  <si>
    <t>40-45</t>
  </si>
  <si>
    <t>45-50</t>
  </si>
  <si>
    <t>50-55</t>
  </si>
  <si>
    <t>55-60</t>
  </si>
  <si>
    <t>Virš 65</t>
  </si>
  <si>
    <t>Procentinė išaiška nuo visų invalidumo pensijų gavėjų</t>
  </si>
  <si>
    <t>I gr.</t>
  </si>
  <si>
    <t>II gr.</t>
  </si>
  <si>
    <t>III gr.</t>
  </si>
  <si>
    <t>Virš 85</t>
  </si>
  <si>
    <t>Iš jų: gaunantys dar ir kitos rūšies pensiją</t>
  </si>
  <si>
    <t>Pagrindinė pensija</t>
  </si>
  <si>
    <t>Pensininkų skaičius</t>
  </si>
  <si>
    <t>% nuo pensininkų skaičiaus 3/2</t>
  </si>
  <si>
    <t>% nuo pensininkų skaičiaus      5/2</t>
  </si>
  <si>
    <t>% nuo pensininkų skaičiaus     7/2</t>
  </si>
  <si>
    <t>Valstybinė mokslininkų</t>
  </si>
  <si>
    <t>% nuo pensininkų skaičiaus    9/2</t>
  </si>
  <si>
    <t>Valstybinė nukentėjusių asmenų</t>
  </si>
  <si>
    <t>% nuo pensininkų skaičiaus 11/2</t>
  </si>
  <si>
    <t>% nuo pensininkų skaičiaus (pagal pensijų rūšis 13/2)</t>
  </si>
  <si>
    <t>SENATVĖS</t>
  </si>
  <si>
    <t>INVALIDUMO</t>
  </si>
  <si>
    <t>I grupės</t>
  </si>
  <si>
    <t>II grupės</t>
  </si>
  <si>
    <t>III grupės</t>
  </si>
  <si>
    <t>NETEKTO DARBINGUMO</t>
  </si>
  <si>
    <t>75-100 %</t>
  </si>
  <si>
    <t>60-70 %</t>
  </si>
  <si>
    <t>45-55 %</t>
  </si>
  <si>
    <t>NAŠLIŲ IR NAŠLAIČIŲ</t>
  </si>
  <si>
    <t>IŠTARNAUTO LAIKO</t>
  </si>
  <si>
    <t>MAITINTOJO NETEKIMO</t>
  </si>
  <si>
    <t>IŠANKSTINĖS SENATVĖS</t>
  </si>
  <si>
    <t>II ketv.</t>
  </si>
  <si>
    <t>Apmokėtų laikinojo nedarbingumo dienų dėl nelaimingų atsitikimų darbe ir profesinių ligų skaičius 1 apdraustajam</t>
  </si>
  <si>
    <t>Atvejų skaičius</t>
  </si>
  <si>
    <t>Apmokėtų dienų skaičius</t>
  </si>
  <si>
    <t>Protezavimas</t>
  </si>
  <si>
    <t>Slauga</t>
  </si>
  <si>
    <t>Nepripažintos profesinės ligos</t>
  </si>
  <si>
    <t>Nelaimingi atsitikimai buityje</t>
  </si>
  <si>
    <t>Nepripažinti nelaimingi atsitikimai darbe</t>
  </si>
  <si>
    <t>Ligos</t>
  </si>
  <si>
    <t>Apmokėtų darbo dienų skaičius</t>
  </si>
  <si>
    <t>Apmokėtų darbo dienų skaičius 1 apdraustajam</t>
  </si>
  <si>
    <t>Vidutinė vieno  atvejo trukmė                                                  ( darbo d.skaičius )</t>
  </si>
  <si>
    <t>Darbdavių apmokėtos ligos pašalpos</t>
  </si>
  <si>
    <t>Gimusių skaičius (tūkst.žm.)</t>
  </si>
  <si>
    <t>Motinystės pašalpų gavėjų skaičius (tūkst.žm.)</t>
  </si>
  <si>
    <t xml:space="preserve">Motinų, gaunančių motinystės pašalpas procentas </t>
  </si>
  <si>
    <t xml:space="preserve">Motinystės </t>
  </si>
  <si>
    <t xml:space="preserve">Motinystės (tėvystės) </t>
  </si>
  <si>
    <t xml:space="preserve">Tėvystės  </t>
  </si>
  <si>
    <t>Profesinės reabilitacijos</t>
  </si>
  <si>
    <t>Tėvystės</t>
  </si>
  <si>
    <t>Kiti rodikliai</t>
  </si>
  <si>
    <t>Ligos atvejų skaičius tūkstančiui apdraustųjų</t>
  </si>
  <si>
    <t>514,5</t>
  </si>
  <si>
    <t>Apmokėtų ligos dienų skaičius 1 apdraustajam</t>
  </si>
  <si>
    <t xml:space="preserve">iki 1 metų </t>
  </si>
  <si>
    <t xml:space="preserve">nuo 1 iki 2 metų </t>
  </si>
  <si>
    <t>nuo 1 iki 2 metų</t>
  </si>
  <si>
    <t>Tėvystės vidutinė 1 atvejo trukmė ( d.d.)</t>
  </si>
  <si>
    <t>Nelaimingų atsitikimų darbe ligos pašalpos</t>
  </si>
  <si>
    <t>Periodinė draudimo išmoka apdraustajam mirus</t>
  </si>
  <si>
    <t>Netekto darbingumo periodinė kompensacija</t>
  </si>
  <si>
    <t>Vienkartinė draudimo išmoka apdraustajam mirus</t>
  </si>
  <si>
    <t>Vienkartinės netekto darbingumo kompensacijos</t>
  </si>
  <si>
    <t>Profesinių ligų  pašalpos</t>
  </si>
  <si>
    <t>Lėšos skirtos prevencijai</t>
  </si>
  <si>
    <t>Profesinės ligos</t>
  </si>
  <si>
    <t>Nelaimingi atsitikimai</t>
  </si>
  <si>
    <t xml:space="preserve">lengvi </t>
  </si>
  <si>
    <t>sunkūs</t>
  </si>
  <si>
    <t>mirtini</t>
  </si>
  <si>
    <t>prof. ligos</t>
  </si>
  <si>
    <t>iš viso</t>
  </si>
  <si>
    <t>Tirta atvejų</t>
  </si>
  <si>
    <t>Pripažinta draudiminiais įvykiais</t>
  </si>
  <si>
    <t>Iš viso šalyje</t>
  </si>
  <si>
    <t>Ligos pašalpos</t>
  </si>
  <si>
    <t>Nelaimingi atsitikimai darbe, į/iš darbo</t>
  </si>
  <si>
    <t>Ligos pašalpų santykiniai rodikliai</t>
  </si>
  <si>
    <t>Atvejų sk.1000 apdraustųjų</t>
  </si>
  <si>
    <t>Apmokėtų ligos dienų sk. 1-am apdraustajam</t>
  </si>
  <si>
    <t>Vidutinė 1-no atvejo trukmė dienų sk.</t>
  </si>
  <si>
    <t>Netekto darbingumo kompensacijos ir išmokos</t>
  </si>
  <si>
    <t>Terminuotas nedarbingumas</t>
  </si>
  <si>
    <t>iki 20%</t>
  </si>
  <si>
    <t>gavėjai</t>
  </si>
  <si>
    <t>nuo 21% iki 29%</t>
  </si>
  <si>
    <t>Neterminuotas nedarbingumas</t>
  </si>
  <si>
    <t>Netekto darbingumo periodinės kompensacijos apdraustiesiems</t>
  </si>
  <si>
    <t>išmokų skaičius</t>
  </si>
  <si>
    <t>pašalpų skaičius</t>
  </si>
  <si>
    <t>Netekto darb.kompensacijų ir išmokų suma - iš viso</t>
  </si>
  <si>
    <t>Lėšos, skirtos nelaimingų atsitikimų darbe ir profesinių ligų prevencijai</t>
  </si>
  <si>
    <t>Nelaimingų atsitikimų darbe ir profesinių ligų socialinio draudimo išlaidos - iš viso</t>
  </si>
  <si>
    <t>Apdraustieji visomis socialinio draudimo rūšimis</t>
  </si>
  <si>
    <t>Pensijų fondų dalyvių skaičius</t>
  </si>
  <si>
    <t>Apdraustųjų dalis, dalyvaujančių pensijų kaupime (%)</t>
  </si>
  <si>
    <t>Įmokos tarifas</t>
  </si>
  <si>
    <t>Asignavimų dalis nuo bendros priskaičiuotos pensijų įmokos sumos, proc.</t>
  </si>
  <si>
    <t>Iš viso:</t>
  </si>
  <si>
    <t>iki 20 m.</t>
  </si>
  <si>
    <t>20-25 m.</t>
  </si>
  <si>
    <t>25-30 m.</t>
  </si>
  <si>
    <t>30-35 m.</t>
  </si>
  <si>
    <t>35-40 m.</t>
  </si>
  <si>
    <t>40-45 m.</t>
  </si>
  <si>
    <t>45-50 m.</t>
  </si>
  <si>
    <t>50-55 m.</t>
  </si>
  <si>
    <t>55-60 m.</t>
  </si>
  <si>
    <t>60-65 m.</t>
  </si>
  <si>
    <t>Nedarbo draudimo išmokoms</t>
  </si>
  <si>
    <t>Išmokų gavėjų skaičius (tūkst.žm.)</t>
  </si>
  <si>
    <t>per metus</t>
  </si>
  <si>
    <t>vidutiniškai per mėnesį</t>
  </si>
  <si>
    <t>už pilną mėnesį</t>
  </si>
  <si>
    <t>Vidutinė išmokos mokėjimo trukmė (mėn.)</t>
  </si>
  <si>
    <t>2015 m.</t>
  </si>
  <si>
    <t>Eil.Nr.</t>
  </si>
  <si>
    <t>Straipsniai</t>
  </si>
  <si>
    <t>Patvirtinta</t>
  </si>
  <si>
    <t>Įvykdyta</t>
  </si>
  <si>
    <t xml:space="preserve">Iki 2012 m. gruodžio 31 d. sveikatos draudimo įmokos iš socialinio draudimo pašalpų  </t>
  </si>
  <si>
    <t>Valstybinio socialinio draudimo fondo 2015 metų pajamų ir išlaidų ataskaita</t>
  </si>
  <si>
    <t>2014 m. ataskaita</t>
  </si>
  <si>
    <t>(tūkst. Eur)</t>
  </si>
  <si>
    <t>Valstybinio socialinio draudimo fondo 2015 metų pinigų įplaukų ir išlaidų konsoliduota ataskaita</t>
  </si>
  <si>
    <t>Lietuvos Respublikos valstybės biudžeto lėšos, skirtos išmokoms finansuoti</t>
  </si>
  <si>
    <t>Iš Lietuvos Respublikos valstybės biudžeto lėšų už pensijų kaupimo dalyvį mokamos papildomos kaupiamosios pensijų įmokos</t>
  </si>
  <si>
    <t>1.1.1.7.1.</t>
  </si>
  <si>
    <t>Fondo veiklos sąnaudų kompensavimas už surinktas ir pervestas įmokas</t>
  </si>
  <si>
    <t>1.1.1.7.1.1.</t>
  </si>
  <si>
    <t>Pensijų fondai</t>
  </si>
  <si>
    <t>1.1.1.7.1.2.</t>
  </si>
  <si>
    <t>Užimtumo fondas</t>
  </si>
  <si>
    <t>1.1.1.7.1.3.</t>
  </si>
  <si>
    <t>Privalomojo sveikatos draudimo fondas</t>
  </si>
  <si>
    <t>1.1.1.7.1.4.</t>
  </si>
  <si>
    <t>Kitos kompensavimo sumos</t>
  </si>
  <si>
    <t>1.1.1.7.2.</t>
  </si>
  <si>
    <t>Kitos veiklos pajamos</t>
  </si>
  <si>
    <t xml:space="preserve">        pensijų kompensavimas</t>
  </si>
  <si>
    <t>Lietuvos gyventojai ir vastybiniu socialiniu draudimu apdrausti asmenys 2010-2015 m.</t>
  </si>
  <si>
    <t>Draudėjų pasiskirstymas 2015 m.</t>
  </si>
  <si>
    <t>Draudėjų struktūra 2015 m.</t>
  </si>
  <si>
    <t>Darbingo amžiaus gyventojai ir valstybiniu socialiniu draudimu apdrausti  asmenys 2010-2015 m.</t>
  </si>
  <si>
    <t>Valstybinio socialinio draudimo įmokų tarifas atskiroms draudimo rūšims 2015 m. (patvirtintas)</t>
  </si>
  <si>
    <t>Valstybinio socialinio draudimo fondo einamųjų metų rezultatas 2010-2015 m. (mln. Eur)</t>
  </si>
  <si>
    <t>Valstybinio socialinio draudimo fondo biudžeto išlaidų kitimas (proc.) 2010-2015 m.</t>
  </si>
  <si>
    <t>Valstybinio socialinio draudimo fondo biudžeto pajamų kitimas (proc.) 2010-2015 m.</t>
  </si>
  <si>
    <t>VSDF biudžeto išlaidos bendrame vidaus produkte 2010-2015 m. (%)</t>
  </si>
  <si>
    <t>Valstybinio socialinio draudimo pensijų išlaidų pasiskirstymas pagal pensijų rūšis 2010-2015 m.</t>
  </si>
  <si>
    <t>Valstybinio socialinio draudimo fondo visų išlaidų ir išlaidų pensijoms kitimas 2010-2015 m.</t>
  </si>
  <si>
    <t>Apdraustųjų ir mokamų pensijų skaičiaus santykio kitimas 2010-2015 m.</t>
  </si>
  <si>
    <t>Valstybinio socialinio draudimo mokamų pensijų skaičiaus pasiskirstymas pagal pensijų rūšis 2015 m.</t>
  </si>
  <si>
    <t xml:space="preserve">   vienam apdraustajam</t>
  </si>
  <si>
    <t xml:space="preserve">    ir profesinių ligų skaičius vienam apdraustajam</t>
  </si>
  <si>
    <t>LIGOS PAŠALPŲ RODIKLIAI PAGAL LIGŲ PORŪŠIUS 2015 m.</t>
  </si>
  <si>
    <t>Priskaičiuota suma                     (tūkst. Eur)</t>
  </si>
  <si>
    <t>Epideminės situacijos</t>
  </si>
  <si>
    <t>Vidutinė  vienos dienos pašalpa (Eur)</t>
  </si>
  <si>
    <t>Ligos pašalpos pagal porūšius 2015 m.</t>
  </si>
  <si>
    <t>Darbdavių apmokėtos ligos pašalpos 2010-2015 m.</t>
  </si>
  <si>
    <t>Motinystės pašalpų gavėjų skaičiaus kitimas 2010-2015 m.</t>
  </si>
  <si>
    <t>Ligos ir motinystės socialinio draudimo rodikliai 2010-2015 m.</t>
  </si>
  <si>
    <t>Motinystės  (tėvystės) pašalpų vidutinio mėnesinio gavėjų skaičius 2010-2015 m.</t>
  </si>
  <si>
    <t>Priskaičiuota suma (tūkst. Eur)</t>
  </si>
  <si>
    <t>Vidutinė  vienos ligos dienos pašalpa (Eur)</t>
  </si>
  <si>
    <t>Motinystės (tėvystės)  vidutinė mėnesinė pašalpa ( Eur )</t>
  </si>
  <si>
    <t>Tėvystės vidutinė pašalpa ( Eur )</t>
  </si>
  <si>
    <t>Profesinės reabilitacijos vidutinė 1 dienos pašalpa ( Eur )</t>
  </si>
  <si>
    <t>Apdraustųjų skaičius</t>
  </si>
  <si>
    <t>Motinystės (tėvystės) pašalpos iki vaikui sukaks vieneri metai (tūkst. Eur)</t>
  </si>
  <si>
    <t>Motinystės (tėvystės) pašalpos iuž vaiką nuo vienerių iki dvejų metų (tūkst. Eur)</t>
  </si>
  <si>
    <t xml:space="preserve">Pensijų fondų dalyvių skaičius 2010-2015 m. </t>
  </si>
  <si>
    <t>Priskaičiuotos įmokos į pensijų fondus ir asignavimai iš valstybės biudžeto 2004-2015 m.</t>
  </si>
  <si>
    <t>Nedarbo socialinio draudimo rodikliai 2015 m.</t>
  </si>
  <si>
    <t>Nedarbo socialinio draudimo išmokų gavėjų skaičius pagal amžių ir lytį 2015 m.gruodis (tūkst.žm.)</t>
  </si>
  <si>
    <t>Priskaičiuota suma                                                   (tūkst. Eur)</t>
  </si>
  <si>
    <t>Vidutinė išmoka (Eur)</t>
  </si>
  <si>
    <t>iki 102 Eur</t>
  </si>
  <si>
    <t>102-150 Eur</t>
  </si>
  <si>
    <t>150-200 Eur</t>
  </si>
  <si>
    <t>200-250 Eur</t>
  </si>
  <si>
    <t>250-300 Eur</t>
  </si>
  <si>
    <t>300-304 Eur</t>
  </si>
  <si>
    <t>Draudėjų pasiskirstymas 2014 m. (IV ketvirtyje)</t>
  </si>
  <si>
    <t>Draudėjų</t>
  </si>
  <si>
    <t>Apdraustieji</t>
  </si>
  <si>
    <t>Uždarosios akcinės bendrovės</t>
  </si>
  <si>
    <t>Individualios įmonės</t>
  </si>
  <si>
    <t>Asmenys, įsigiję verslo liudijimus</t>
  </si>
  <si>
    <t>Ūkininkai ir jų partneriai</t>
  </si>
  <si>
    <t>Biudžetinės įstaigos</t>
  </si>
  <si>
    <t>Kiti draudėjai</t>
  </si>
  <si>
    <t>Draudėjų struktūra 2014 m. (IV ketvirtyje)</t>
  </si>
  <si>
    <t>atitinkamos draudėjų grupės lyginamasis svoris bendrame draudėjų skaičiuje %</t>
  </si>
  <si>
    <t>draudėjų grupės apdraustųjų skaičiaus lyginamasis svoris bendrame apdraustųjų skaičiuje %</t>
  </si>
  <si>
    <t>Mėnesio pajamos (Eur)</t>
  </si>
  <si>
    <t xml:space="preserve"> iki 300</t>
  </si>
  <si>
    <t>301 - 350</t>
  </si>
  <si>
    <t>351 - 400</t>
  </si>
  <si>
    <t>401 - 450</t>
  </si>
  <si>
    <t>451 - 500</t>
  </si>
  <si>
    <t>601 - 700</t>
  </si>
  <si>
    <t>701 - 800</t>
  </si>
  <si>
    <t>1601 - 2000</t>
  </si>
  <si>
    <t>virš 3001</t>
  </si>
  <si>
    <t>Vidutinės mėnesio pajamos (Eur)</t>
  </si>
  <si>
    <t>1998 m.</t>
  </si>
  <si>
    <t>Darbingo amžiaus gyventojų skaičius</t>
  </si>
  <si>
    <t>Užimti gyventojai</t>
  </si>
  <si>
    <t>Statistikos departamento skelbiamas  vidutinis darbo užmokestis (Eur) šalyje</t>
  </si>
  <si>
    <t>712,1*</t>
  </si>
  <si>
    <t>VALSTYBINIO SOCIALINIO DRAUDIMO PENSIJŲ IŠLAIDŲ PASISKIRSTYMAS PAGAL PENSIJŲ RŪŠIS</t>
  </si>
  <si>
    <t>tūkst.Eur</t>
  </si>
  <si>
    <t>iki 175</t>
  </si>
  <si>
    <t>175-200</t>
  </si>
  <si>
    <t>200-225</t>
  </si>
  <si>
    <t>225-250</t>
  </si>
  <si>
    <t>250-275</t>
  </si>
  <si>
    <t>275-300</t>
  </si>
  <si>
    <t>300-325</t>
  </si>
  <si>
    <t>325-350</t>
  </si>
  <si>
    <t>350-400</t>
  </si>
  <si>
    <t>400-500</t>
  </si>
  <si>
    <t>Virš 500</t>
  </si>
  <si>
    <t>2001 - 3000</t>
  </si>
  <si>
    <t>1301 - 1600</t>
  </si>
  <si>
    <t>1001 - 1300</t>
  </si>
  <si>
    <t>901 - 1000</t>
  </si>
  <si>
    <t>801 - 900</t>
  </si>
  <si>
    <t>501 - 600</t>
  </si>
  <si>
    <t>Vidutinės pajamos, nuo kurių skaičiuojamos įmokos  2010-2015 m.</t>
  </si>
  <si>
    <t>Lietuvos gyventojų skaičius</t>
  </si>
  <si>
    <t>Vidutinės apdraustųjų visomis socialinio draudimo rūšimis pajamos, nuo kurių skaičiuojamos įmokos (Eur )</t>
  </si>
  <si>
    <t>1.13 Apdraustieji  nelaimingų  atsitikimų  darbe draudimu (kaliniai, jų darbo metu)</t>
  </si>
  <si>
    <t>1.11 Religinių bendruomenių dvasininkai</t>
  </si>
  <si>
    <t>1.8. Pareigūnai ir diplomatų sutuoktiniai</t>
  </si>
  <si>
    <t>Biudžeto balansas (Eur)</t>
  </si>
  <si>
    <t>2003 m</t>
  </si>
  <si>
    <t>2004 m</t>
  </si>
  <si>
    <t>2005m</t>
  </si>
  <si>
    <t>2006 m</t>
  </si>
  <si>
    <t>2007 m</t>
  </si>
  <si>
    <t xml:space="preserve">2008 m </t>
  </si>
  <si>
    <t xml:space="preserve">2009 m </t>
  </si>
  <si>
    <t>Biudžeto balansas</t>
  </si>
  <si>
    <t>visų VSDF išlaidų dalis</t>
  </si>
  <si>
    <t>Išlaidos pensijoms (tūkst. Eur)</t>
  </si>
  <si>
    <t>Bendrasis vidaus produktas (tūkst. Eur)</t>
  </si>
  <si>
    <t>Visos VSDF išlaidos (tūkst. Eur)</t>
  </si>
  <si>
    <t>išlaidų VSD pensijoms dalis</t>
  </si>
  <si>
    <t>NELAIMINGŲ ATSITIKIMŲ DARBE IR PROFESINIŲ LIGŲ SOCIALINIO DRAUDIMO RODIKLIAI 2010-2015 METAIS</t>
  </si>
  <si>
    <t>Priskaičiuota suma tūkst. Eur</t>
  </si>
  <si>
    <t>suma tūkst.Eur</t>
  </si>
  <si>
    <t>vidutinė išmoka Eur</t>
  </si>
  <si>
    <t>Priskaičiuotos valstybinio socialinio draudimo pensijų įmokos, mln. Eur</t>
  </si>
  <si>
    <t>Priskaičiuota suma, mln. Eur</t>
  </si>
  <si>
    <t>Gauti asignavimai iš LR valstybės biudžeto, mln. Eur</t>
  </si>
  <si>
    <t>I pusm - 3%, II pusm. - 2%</t>
  </si>
  <si>
    <t>Pensijų kaupimo dalyvių skaičius pagal amžių ir pajamas (2015 metų sausio mėn.)</t>
  </si>
  <si>
    <t>Dirbančiųjų, dalyvaujančių pensijų kaupime, pajamos nuo kurių skaičiuojamos VSD įmokos, Eur</t>
  </si>
  <si>
    <t>Pensijų kaupimo dalyvių skaičiaus pasiskirstymas pagal amžių</t>
  </si>
  <si>
    <t>iki 24 metų</t>
  </si>
  <si>
    <t>25 - 34 metų</t>
  </si>
  <si>
    <t>35 - 44 metų</t>
  </si>
  <si>
    <t>45 - 54 metų</t>
  </si>
  <si>
    <t>55 - 64 metų</t>
  </si>
  <si>
    <t>Moteris</t>
  </si>
  <si>
    <t>Vyras</t>
  </si>
  <si>
    <t>0-150</t>
  </si>
  <si>
    <t>151 - 300</t>
  </si>
  <si>
    <t>3001 - 4000</t>
  </si>
  <si>
    <t>4001 - 5000</t>
  </si>
  <si>
    <t>virš 5001</t>
  </si>
  <si>
    <t>Daudžiamųjų pajamų neturėjo</t>
  </si>
  <si>
    <t xml:space="preserve">Turinys </t>
  </si>
  <si>
    <t>Lapo nr. faile</t>
  </si>
  <si>
    <t>Statistikos departamento paskelbto vidutinio darbo užmokesčio ir valstybiniu socialiniu draudimu apdraustų asmenų vidutinių pajamų, nuo kurių skaičiuojamos įmokos, santykis 2010-2015 m.</t>
  </si>
  <si>
    <t>Senatvės pensijų gavėjų, turinčių būtinąjį stažą, skaičiaus pasiskirstymas pagal pensijos dydį  2015 m. gruodis</t>
  </si>
  <si>
    <t>LIGOS IR MOTINYSTĖS SOCIALINIO DRAUDIMO RODIKLIAI  2010-2015 m.</t>
  </si>
  <si>
    <t>Ligos  ir  motinystės socialiniam draudimui, kai draudžiama   motinystės,   tėvystės   ir   motinystės  (tėvystės) pašalpoms</t>
  </si>
  <si>
    <t>Senatvės pensija, turint būtinąjį stažą, eur</t>
  </si>
  <si>
    <t>Šalies vid. darbo užmokestis, eur</t>
  </si>
  <si>
    <t xml:space="preserve">Pensijų fondų dalyvių, už kuriuos 2015 m. buvo priskaičiuotos pensijų įmokos į fondus, skaičiaus pasiskirstymas pagal amžių, lytį ir vidutinį mėnesio darbo užmokestį (dirbusių nemažiau kaip 90 dienų per metus) </t>
  </si>
  <si>
    <t>Netekto darbingumo pensijų gavėjų pasiskirstymas pagal amžiaus grupes ir lytį 2015 m. gruodis</t>
  </si>
  <si>
    <t>Invalidumo pensijų gavėjų pasiskirstymas pagal amžiaus grupes ir lytį 2015 m. gruodis</t>
  </si>
  <si>
    <t>NETEKTO DARBINGUMO PENSIJŲ GAVĖJŲ PASISKIRSTYMAS PAGAL AMŽIAUS GRUPES IR LYTĮ  2015 m. gruodis</t>
  </si>
  <si>
    <t>INVALIDUMO  PENSIJŲ GAVĖJŲ PASISKIRSTYMAS PAGAL AMŽIAUS GRUPES IR LYTĮ  2015 m. gruodis</t>
  </si>
  <si>
    <t>PENSIJŲ GAVĖJŲ, GAUNANČIŲ DVI IR DAUGIAU PENSIJAS, SKAIČIAUS ANALIZĖ  2015 m. gruodis</t>
  </si>
  <si>
    <t>VSDF biudžeto išlaidos, mln.Eur</t>
  </si>
  <si>
    <t>Išlaidos pensijų draudimui, mln.Eur</t>
  </si>
  <si>
    <t xml:space="preserve">Apmokėtų ligos dienų skaičius vienam apdraustajam </t>
  </si>
  <si>
    <t>Nedarbo socialinio draudimo išmokų gavėjų skaičius pagal išmokos dydį (už pilną mėnesį) ir lytį 2015 m. gruodis (tūkst.žm.)</t>
  </si>
  <si>
    <t>Eur</t>
  </si>
  <si>
    <t>Priskaičiuotos išlaidos, mln. Eur (Nuo 2013 m. sveikatos draudimo lėšos, pervedamos į Privalomąjį  sveikatos draudimo fondą, kaip fondo biudžeto išlaidos neapskaitomos)</t>
  </si>
  <si>
    <t>Metinis kitimas, proc.</t>
  </si>
  <si>
    <t>Priskaičiuojamos pajamos mln. Eur (Nuo 2013 m. sveikatos draudimo įmokos kaip fondo biudžeto pajamos neįskaitomos)</t>
  </si>
  <si>
    <t xml:space="preserve">Maitintojo netekimo pensijos </t>
  </si>
  <si>
    <t>Našlių ir našlaičių pensijos</t>
  </si>
  <si>
    <t xml:space="preserve">Valstybinio socialinio draudimo fondo einamųjų metų rezultatas (mln. Eur) 2010-2015 m. </t>
  </si>
  <si>
    <t xml:space="preserve">VSDF biudžeto išlaidos bendrame vidaus produkte (proc.) 2010-2015 m. </t>
  </si>
  <si>
    <t xml:space="preserve">Valstybinio socialinio draudimo pensijų, paskirtų 2010-2015 m., skaičius  </t>
  </si>
  <si>
    <t>Senatvės pensijų gavėjų skaičiaus pasiskirstymas pagal amžiaus grupes 2015 m. gruodis</t>
  </si>
  <si>
    <t>Vidutinės senatvės pensijos, turint būtinąjį stažą, santykis su statistikos departamento  skelbtu  darbo užmokesčiu 2010-2015 m.</t>
  </si>
  <si>
    <t>Senatvės pensijų gavėjų skaičiaus pasiskirstymas pagal amžiaus grupes ir  lytį 2015 m. gruodis</t>
  </si>
  <si>
    <t>Pensijų gavėjų, gaunančių dvi ir daugiau pensijas, skaičiaus analizė 2015 m. gruodis</t>
  </si>
  <si>
    <t>Apmokėtų ligos dienų skaičius vienam apdraustajam  2010-2015 m.</t>
  </si>
  <si>
    <t>Motinystės (tėvystės) pašalpų vidutinio mėnesinio gavėjų skaičiaus kitimas 2010-2015 m.</t>
  </si>
  <si>
    <t>Nelaimingų atsitikimų darbe ir profesinių ligų socialinio draudimo išmokų struktūra 2015 m.</t>
  </si>
  <si>
    <t>Nelaimingi atsitikimai darbe ir profesinės ligos pagal sužalojimo sunkumą 2015 m.</t>
  </si>
  <si>
    <t>Nelaimingi atsitikimai darbe ir profesinės ligos, pripažintos draudiminiais įvykiais 2010-2015 m.</t>
  </si>
  <si>
    <t>Nelaimingų atsitikimų darbe ir profesinių ligų socialinio draudimo rodikliai 2010-2015 m.</t>
  </si>
  <si>
    <t>Valstybinio socialinio draudimo fondo 2015 metų pinigų įplaukų ir išlaidų ataskaita</t>
  </si>
  <si>
    <t>VSD apdraustųjų, dirbusių ne mažiau kaip 30 d. per mėnesį, pasiskirstymas pagal amžių, lytį ir pajamas, nuo kurių skaičiuojamos įmokos 2015 m. sausis</t>
  </si>
  <si>
    <t>Valstybiniu socialiniu draudimu  apdraustieji:</t>
  </si>
  <si>
    <t>Pensijų  socialinio draudimo išlaidos (tūkst. Eur)</t>
  </si>
  <si>
    <t>SENATVĖS PENSIJŲ GAVĖJŲ PASISKIRSTYMAS PAGAL AMŽIAUS GRUPES IR LYTĮ   
2015 m. gruodis</t>
  </si>
  <si>
    <t>213661,979</t>
  </si>
  <si>
    <t>NEDARBO SOCIALINIO DRAUDIMO RODIKLIAI                                                2014-2015 METAIS</t>
  </si>
  <si>
    <t>Bedarbiai*</t>
  </si>
  <si>
    <t>* -  duomenys iš Lietuvos statistikos departamento</t>
  </si>
  <si>
    <t>Dirbančiųjų, dalyvaujančių pensijų kaupime, skaičius, tūkst. žm.</t>
  </si>
  <si>
    <t>Procentas nuo apdraustųjų skaičiaus, %</t>
  </si>
  <si>
    <t>Dalyvių, kurie neturėjo draudžiamųjų pajamų skaičius, tūkst. žm.</t>
  </si>
  <si>
    <t>Procentas nuo visų dalyvių skaičiaus, %</t>
  </si>
  <si>
    <t>2011 m. ataskaita</t>
  </si>
  <si>
    <t>2012 m. ataskaita</t>
  </si>
  <si>
    <t>2013 m. ataskaita</t>
  </si>
  <si>
    <t>2015 m. ataskaita</t>
  </si>
  <si>
    <t>1.14 Apdraustieji  nelaimingų  atsitikimų  darbe draudimu valstybės lėšomis ( mokiniai, studentai ir asmenys, atliekantys profesinę veiklos praktiką įstaigoje ar įmonėje (I tarifo grupė)</t>
  </si>
  <si>
    <t>1.7 Ūkininkai</t>
  </si>
  <si>
    <t>1.9 Privalomosios tarnybos kariai</t>
  </si>
  <si>
    <t>1.15 Pirmą kartą įsidarbinantys pagal darbo sutartis</t>
  </si>
  <si>
    <t>1.16 Šeimynos dalyviai</t>
  </si>
  <si>
    <t>1.17 Mažųjų bendrijų nariai</t>
  </si>
  <si>
    <t>3.1 Dirbantieji pagal autorines sutartis , sportininkai, atlikėjai susiję su darbdaviu darbo santykiais</t>
  </si>
  <si>
    <t>3.2 Dirbantieji pagal autorines sutartis , sportininkai, atlikėjai nesusiję su darbdaviu darbo santykiais</t>
  </si>
  <si>
    <t>3.3 Meno kūrėjo statusą turinys asmenys</t>
  </si>
  <si>
    <t>1.3 Asmenys, turintys verslo liudijimus</t>
  </si>
  <si>
    <t xml:space="preserve">1.4 Tikrųjų ūkinių bendrijų nariai </t>
  </si>
  <si>
    <t xml:space="preserve">1.5 Komanditinių ūkinių bendrijų  nariai </t>
  </si>
  <si>
    <t>1.6 Kiti individualia veikla užsiimantys asmenys</t>
  </si>
  <si>
    <t xml:space="preserve">Išankstinės senatvės pensijos </t>
  </si>
  <si>
    <t>Apmokėtų dienų dėl nelaimingų atsitikimų darbe skaičius vienam apdraustajam</t>
  </si>
  <si>
    <t>Vidutinė vieno ligos atvejo trukmė (d.d.)</t>
  </si>
  <si>
    <t>Motinystės vidutinė 1 atvejo trukmė (d.d.)</t>
  </si>
  <si>
    <t>Motinystės (tėvystės) pašalpų vidutinis mėnesinis gavėjų skaičius (iš viso):</t>
  </si>
  <si>
    <t>Motinystės vidutinė vienos dienos pašalpa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</si>
</sst>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\ ###\ ###\ ##0.00"/>
    <numFmt numFmtId="165" formatCode="#,##0.0"/>
    <numFmt numFmtId="166" formatCode="0.0"/>
    <numFmt numFmtId="167" formatCode="######################################0.0"/>
    <numFmt numFmtId="168" formatCode="0.0%"/>
    <numFmt numFmtId="169" formatCode="yyyy\-mm\-dd"/>
    <numFmt numFmtId="170" formatCode="0.000%"/>
    <numFmt numFmtId="171" formatCode="0.000"/>
    <numFmt numFmtId="172" formatCode="0.0000"/>
    <numFmt numFmtId="173" formatCode="######\ ###\ ###\ ##0.00"/>
  </numFmts>
  <fonts count="104"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b/>
      <sz val="24"/>
      <name val="Arial"/>
      <family val="2"/>
      <charset val="186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i/>
      <sz val="10"/>
      <color indexed="23"/>
      <name val="Arial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186"/>
    </font>
    <font>
      <sz val="10"/>
      <name val="HelveticaLT"/>
      <charset val="186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0"/>
      <name val="Times New Roman"/>
      <family val="1"/>
      <charset val="186"/>
    </font>
    <font>
      <sz val="8"/>
      <color indexed="20"/>
      <name val="Verdana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LT"/>
      <family val="1"/>
    </font>
    <font>
      <b/>
      <sz val="10"/>
      <color rgb="FFFF0000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0"/>
      <name val="TimesLT"/>
      <family val="1"/>
    </font>
    <font>
      <sz val="9"/>
      <color indexed="8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name val="Times New Roman Baltic"/>
      <family val="1"/>
      <charset val="186"/>
    </font>
    <font>
      <sz val="9"/>
      <name val="Times New Roman Baltic"/>
      <family val="1"/>
      <charset val="186"/>
    </font>
    <font>
      <sz val="12"/>
      <name val="Times New Roman"/>
      <family val="1"/>
      <charset val="186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  <charset val="186"/>
    </font>
    <font>
      <sz val="10"/>
      <name val="!_Helvetica"/>
      <charset val="186"/>
    </font>
    <font>
      <sz val="11"/>
      <name val="TimesLT"/>
      <family val="1"/>
    </font>
    <font>
      <sz val="9.5"/>
      <name val="HelveticaLT"/>
      <charset val="186"/>
    </font>
    <font>
      <sz val="9.5"/>
      <name val="Times New Roman Baltic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name val="TimesLT"/>
      <family val="1"/>
    </font>
    <font>
      <b/>
      <sz val="10"/>
      <name val="TimesLT"/>
      <family val="1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0"/>
      <name val="HelveticaLT"/>
      <family val="2"/>
    </font>
    <font>
      <sz val="10"/>
      <color indexed="10"/>
      <name val="TimesLT"/>
      <family val="1"/>
    </font>
    <font>
      <sz val="10"/>
      <name val="Times New Roman Baltic"/>
      <charset val="186"/>
    </font>
    <font>
      <b/>
      <sz val="10"/>
      <color indexed="10"/>
      <name val="Times New Roman Baltic"/>
      <charset val="186"/>
    </font>
    <font>
      <sz val="10"/>
      <color indexed="10"/>
      <name val="Times New Roman"/>
      <family val="1"/>
      <charset val="186"/>
    </font>
    <font>
      <sz val="8"/>
      <name val="Times New Roman"/>
      <family val="1"/>
      <charset val="186"/>
    </font>
    <font>
      <b/>
      <sz val="13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3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2"/>
      <name val="Times New Roman"/>
      <family val="1"/>
    </font>
    <font>
      <b/>
      <sz val="1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  <charset val="186"/>
    </font>
    <font>
      <sz val="11.3"/>
      <color rgb="FF000000"/>
      <name val="Times New Roman"/>
      <family val="1"/>
      <charset val="186"/>
    </font>
    <font>
      <b/>
      <sz val="14"/>
      <color rgb="FF000000"/>
      <name val="Calibri"/>
      <family val="2"/>
      <scheme val="minor"/>
    </font>
    <font>
      <sz val="10"/>
      <name val="TimesLT"/>
      <family val="1"/>
    </font>
    <font>
      <sz val="9"/>
      <color indexed="8"/>
      <name val="Arial"/>
      <family val="2"/>
      <charset val="186"/>
    </font>
    <font>
      <b/>
      <sz val="10"/>
      <name val="TimesLT"/>
      <family val="1"/>
    </font>
    <font>
      <b/>
      <sz val="11"/>
      <name val="TimesLT"/>
      <family val="1"/>
    </font>
    <font>
      <sz val="11"/>
      <name val="TimesLT"/>
      <family val="1"/>
    </font>
    <font>
      <sz val="10"/>
      <color rgb="FFFF0000"/>
      <name val="TimesLT"/>
      <family val="1"/>
    </font>
    <font>
      <b/>
      <u/>
      <sz val="12"/>
      <name val="Times New Roman"/>
      <family val="1"/>
      <charset val="186"/>
    </font>
    <font>
      <b/>
      <sz val="24"/>
      <name val="Times New Roman"/>
      <family val="1"/>
      <charset val="186"/>
    </font>
    <font>
      <b/>
      <sz val="12"/>
      <name val="Times New Roman Baltic"/>
      <charset val="186"/>
    </font>
    <font>
      <b/>
      <sz val="18"/>
      <color theme="1"/>
      <name val="Times New Roman"/>
      <family val="1"/>
      <charset val="186"/>
    </font>
    <font>
      <sz val="1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u/>
      <sz val="12"/>
      <color theme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11"/>
      <name val="Times New Roman Baltic"/>
      <family val="1"/>
      <charset val="186"/>
    </font>
    <font>
      <sz val="10"/>
      <color rgb="FF000000"/>
      <name val="Times New Roman"/>
      <family val="1"/>
      <charset val="186"/>
    </font>
    <font>
      <b/>
      <sz val="11"/>
      <name val="Times New Roman Baltic"/>
      <family val="1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</fonts>
  <fills count="51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48"/>
        <bgColor indexed="48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25"/>
        <bgColor indexed="25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25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3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4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18" borderId="0" applyNumberFormat="0" applyBorder="0" applyAlignment="0" applyProtection="0"/>
    <xf numFmtId="0" fontId="5" fillId="27" borderId="0" applyNumberFormat="0" applyBorder="0" applyAlignment="0" applyProtection="0"/>
    <xf numFmtId="0" fontId="7" fillId="18" borderId="0" applyNumberFormat="0" applyBorder="0" applyAlignment="0" applyProtection="0"/>
    <xf numFmtId="0" fontId="8" fillId="28" borderId="1" applyNumberFormat="0" applyAlignment="0" applyProtection="0"/>
    <xf numFmtId="0" fontId="9" fillId="19" borderId="2" applyNumberFormat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32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7" borderId="1" applyNumberFormat="0" applyAlignment="0" applyProtection="0"/>
    <xf numFmtId="0" fontId="17" fillId="0" borderId="6" applyNumberFormat="0" applyFill="0" applyAlignment="0" applyProtection="0"/>
    <xf numFmtId="0" fontId="18" fillId="27" borderId="0" applyNumberFormat="0" applyBorder="0" applyAlignment="0" applyProtection="0"/>
    <xf numFmtId="0" fontId="19" fillId="0" borderId="0"/>
    <xf numFmtId="0" fontId="19" fillId="26" borderId="7" applyNumberFormat="0" applyFont="0" applyAlignment="0" applyProtection="0"/>
    <xf numFmtId="0" fontId="21" fillId="28" borderId="8" applyNumberFormat="0" applyAlignment="0" applyProtection="0"/>
    <xf numFmtId="0" fontId="19" fillId="0" borderId="0"/>
    <xf numFmtId="9" fontId="20" fillId="0" borderId="0" applyFont="0" applyFill="0" applyBorder="0" applyAlignment="0" applyProtection="0"/>
    <xf numFmtId="4" fontId="22" fillId="33" borderId="9" applyNumberFormat="0" applyProtection="0">
      <alignment vertical="center"/>
    </xf>
    <xf numFmtId="4" fontId="23" fillId="33" borderId="9" applyNumberFormat="0" applyProtection="0">
      <alignment vertical="center"/>
    </xf>
    <xf numFmtId="4" fontId="22" fillId="33" borderId="9" applyNumberFormat="0" applyProtection="0">
      <alignment horizontal="left" vertical="center" indent="1"/>
    </xf>
    <xf numFmtId="0" fontId="22" fillId="33" borderId="9" applyNumberFormat="0" applyProtection="0">
      <alignment horizontal="left" vertical="top" indent="1"/>
    </xf>
    <xf numFmtId="4" fontId="22" fillId="2" borderId="0" applyNumberFormat="0" applyProtection="0">
      <alignment horizontal="left" vertical="center" indent="1"/>
    </xf>
    <xf numFmtId="4" fontId="3" fillId="7" borderId="9" applyNumberFormat="0" applyProtection="0">
      <alignment horizontal="right" vertical="center"/>
    </xf>
    <xf numFmtId="4" fontId="3" fillId="3" borderId="9" applyNumberFormat="0" applyProtection="0">
      <alignment horizontal="right" vertical="center"/>
    </xf>
    <xf numFmtId="4" fontId="3" fillId="34" borderId="9" applyNumberFormat="0" applyProtection="0">
      <alignment horizontal="right" vertical="center"/>
    </xf>
    <xf numFmtId="4" fontId="3" fillId="35" borderId="9" applyNumberFormat="0" applyProtection="0">
      <alignment horizontal="right" vertical="center"/>
    </xf>
    <xf numFmtId="4" fontId="3" fillId="36" borderId="9" applyNumberFormat="0" applyProtection="0">
      <alignment horizontal="right" vertical="center"/>
    </xf>
    <xf numFmtId="4" fontId="3" fillId="37" borderId="9" applyNumberFormat="0" applyProtection="0">
      <alignment horizontal="right" vertical="center"/>
    </xf>
    <xf numFmtId="4" fontId="3" fillId="9" borderId="9" applyNumberFormat="0" applyProtection="0">
      <alignment horizontal="right" vertical="center"/>
    </xf>
    <xf numFmtId="4" fontId="3" fillId="38" borderId="9" applyNumberFormat="0" applyProtection="0">
      <alignment horizontal="right" vertical="center"/>
    </xf>
    <xf numFmtId="4" fontId="3" fillId="39" borderId="9" applyNumberFormat="0" applyProtection="0">
      <alignment horizontal="right" vertical="center"/>
    </xf>
    <xf numFmtId="4" fontId="22" fillId="40" borderId="10" applyNumberFormat="0" applyProtection="0">
      <alignment horizontal="left" vertical="center" indent="1"/>
    </xf>
    <xf numFmtId="4" fontId="3" fillId="41" borderId="0" applyNumberFormat="0" applyProtection="0">
      <alignment horizontal="left" vertical="center" indent="1"/>
    </xf>
    <xf numFmtId="4" fontId="24" fillId="8" borderId="0" applyNumberFormat="0" applyProtection="0">
      <alignment horizontal="left" vertical="center" indent="1"/>
    </xf>
    <xf numFmtId="4" fontId="3" fillId="2" borderId="9" applyNumberFormat="0" applyProtection="0">
      <alignment horizontal="right" vertical="center"/>
    </xf>
    <xf numFmtId="4" fontId="25" fillId="41" borderId="0" applyNumberFormat="0" applyProtection="0">
      <alignment horizontal="left" vertical="center" indent="1"/>
    </xf>
    <xf numFmtId="4" fontId="25" fillId="2" borderId="0" applyNumberFormat="0" applyProtection="0">
      <alignment horizontal="left" vertical="center" indent="1"/>
    </xf>
    <xf numFmtId="0" fontId="19" fillId="8" borderId="9" applyNumberFormat="0" applyProtection="0">
      <alignment horizontal="left" vertical="center" indent="1"/>
    </xf>
    <xf numFmtId="0" fontId="19" fillId="8" borderId="9" applyNumberFormat="0" applyProtection="0">
      <alignment horizontal="left" vertical="top" indent="1"/>
    </xf>
    <xf numFmtId="0" fontId="19" fillId="2" borderId="9" applyNumberFormat="0" applyProtection="0">
      <alignment horizontal="left" vertical="center" indent="1"/>
    </xf>
    <xf numFmtId="0" fontId="19" fillId="2" borderId="9" applyNumberFormat="0" applyProtection="0">
      <alignment horizontal="left" vertical="top" indent="1"/>
    </xf>
    <xf numFmtId="0" fontId="19" fillId="6" borderId="9" applyNumberFormat="0" applyProtection="0">
      <alignment horizontal="left" vertical="center" indent="1"/>
    </xf>
    <xf numFmtId="0" fontId="19" fillId="6" borderId="9" applyNumberFormat="0" applyProtection="0">
      <alignment horizontal="left" vertical="top" indent="1"/>
    </xf>
    <xf numFmtId="0" fontId="19" fillId="41" borderId="9" applyNumberFormat="0" applyProtection="0">
      <alignment horizontal="left" vertical="center" indent="1"/>
    </xf>
    <xf numFmtId="0" fontId="19" fillId="41" borderId="9" applyNumberFormat="0" applyProtection="0">
      <alignment horizontal="left" vertical="top" indent="1"/>
    </xf>
    <xf numFmtId="0" fontId="19" fillId="5" borderId="11" applyNumberFormat="0">
      <protection locked="0"/>
    </xf>
    <xf numFmtId="4" fontId="3" fillId="4" borderId="9" applyNumberFormat="0" applyProtection="0">
      <alignment vertical="center"/>
    </xf>
    <xf numFmtId="4" fontId="26" fillId="4" borderId="9" applyNumberFormat="0" applyProtection="0">
      <alignment vertical="center"/>
    </xf>
    <xf numFmtId="4" fontId="3" fillId="4" borderId="9" applyNumberFormat="0" applyProtection="0">
      <alignment horizontal="left" vertical="center" indent="1"/>
    </xf>
    <xf numFmtId="0" fontId="3" fillId="4" borderId="9" applyNumberFormat="0" applyProtection="0">
      <alignment horizontal="left" vertical="top" indent="1"/>
    </xf>
    <xf numFmtId="4" fontId="3" fillId="41" borderId="9" applyNumberFormat="0" applyProtection="0">
      <alignment horizontal="right" vertical="center"/>
    </xf>
    <xf numFmtId="4" fontId="26" fillId="41" borderId="9" applyNumberFormat="0" applyProtection="0">
      <alignment horizontal="right" vertical="center"/>
    </xf>
    <xf numFmtId="4" fontId="3" fillId="2" borderId="9" applyNumberFormat="0" applyProtection="0">
      <alignment horizontal="left" vertical="center" indent="1"/>
    </xf>
    <xf numFmtId="0" fontId="3" fillId="2" borderId="9" applyNumberFormat="0" applyProtection="0">
      <alignment horizontal="left" vertical="top" indent="1"/>
    </xf>
    <xf numFmtId="4" fontId="27" fillId="42" borderId="0" applyNumberFormat="0" applyProtection="0">
      <alignment horizontal="left" vertical="center" indent="1"/>
    </xf>
    <xf numFmtId="4" fontId="28" fillId="41" borderId="9" applyNumberFormat="0" applyProtection="0">
      <alignment horizontal="right" vertical="center"/>
    </xf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0" fillId="0" borderId="12" applyNumberFormat="0" applyFill="0" applyAlignment="0" applyProtection="0"/>
    <xf numFmtId="0" fontId="30" fillId="0" borderId="0" applyNumberFormat="0" applyFill="0" applyBorder="0" applyAlignment="0" applyProtection="0"/>
    <xf numFmtId="164" fontId="31" fillId="0" borderId="11">
      <alignment vertical="center"/>
    </xf>
    <xf numFmtId="0" fontId="32" fillId="43" borderId="0"/>
    <xf numFmtId="2" fontId="32" fillId="43" borderId="13">
      <protection locked="0"/>
    </xf>
    <xf numFmtId="0" fontId="20" fillId="0" borderId="0"/>
    <xf numFmtId="0" fontId="43" fillId="0" borderId="0"/>
    <xf numFmtId="0" fontId="19" fillId="0" borderId="0"/>
    <xf numFmtId="0" fontId="20" fillId="0" borderId="0"/>
    <xf numFmtId="0" fontId="46" fillId="0" borderId="0"/>
    <xf numFmtId="0" fontId="19" fillId="0" borderId="0"/>
    <xf numFmtId="0" fontId="55" fillId="0" borderId="0" applyNumberFormat="0" applyFill="0" applyBorder="0" applyAlignment="0" applyProtection="0"/>
    <xf numFmtId="0" fontId="46" fillId="0" borderId="0"/>
    <xf numFmtId="0" fontId="57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</cellStyleXfs>
  <cellXfs count="826">
    <xf numFmtId="0" fontId="0" fillId="0" borderId="0" xfId="0"/>
    <xf numFmtId="0" fontId="2" fillId="0" borderId="0" xfId="1" applyFont="1"/>
    <xf numFmtId="0" fontId="1" fillId="0" borderId="0" xfId="1"/>
    <xf numFmtId="0" fontId="19" fillId="0" borderId="0" xfId="1" applyFont="1" applyAlignment="1">
      <alignment vertical="center"/>
    </xf>
    <xf numFmtId="0" fontId="44" fillId="0" borderId="0" xfId="0" applyFont="1" applyFill="1"/>
    <xf numFmtId="165" fontId="44" fillId="0" borderId="0" xfId="0" applyNumberFormat="1" applyFont="1" applyFill="1"/>
    <xf numFmtId="0" fontId="31" fillId="0" borderId="0" xfId="112" applyFont="1"/>
    <xf numFmtId="0" fontId="19" fillId="0" borderId="0" xfId="112"/>
    <xf numFmtId="0" fontId="31" fillId="0" borderId="0" xfId="114" applyFont="1"/>
    <xf numFmtId="0" fontId="31" fillId="0" borderId="0" xfId="114" applyFont="1" applyAlignment="1">
      <alignment horizontal="right"/>
    </xf>
    <xf numFmtId="0" fontId="31" fillId="0" borderId="11" xfId="114" applyFont="1" applyBorder="1" applyAlignment="1">
      <alignment vertical="center"/>
    </xf>
    <xf numFmtId="0" fontId="31" fillId="0" borderId="11" xfId="114" applyFont="1" applyBorder="1" applyAlignment="1">
      <alignment horizontal="center" vertical="center"/>
    </xf>
    <xf numFmtId="0" fontId="31" fillId="0" borderId="0" xfId="114" applyFont="1" applyAlignment="1">
      <alignment vertical="center"/>
    </xf>
    <xf numFmtId="0" fontId="37" fillId="0" borderId="0" xfId="114" applyFont="1"/>
    <xf numFmtId="0" fontId="42" fillId="0" borderId="0" xfId="114" applyFont="1" applyAlignment="1">
      <alignment vertical="center"/>
    </xf>
    <xf numFmtId="166" fontId="31" fillId="0" borderId="0" xfId="114" applyNumberFormat="1" applyFont="1"/>
    <xf numFmtId="0" fontId="31" fillId="0" borderId="0" xfId="114" applyFont="1" applyAlignment="1">
      <alignment vertical="center" wrapText="1"/>
    </xf>
    <xf numFmtId="0" fontId="31" fillId="0" borderId="0" xfId="114" applyFont="1" applyFill="1"/>
    <xf numFmtId="0" fontId="19" fillId="0" borderId="0" xfId="115"/>
    <xf numFmtId="0" fontId="52" fillId="0" borderId="0" xfId="115" applyFont="1"/>
    <xf numFmtId="0" fontId="53" fillId="0" borderId="0" xfId="115" applyFont="1"/>
    <xf numFmtId="0" fontId="31" fillId="0" borderId="0" xfId="115" applyFont="1"/>
    <xf numFmtId="0" fontId="46" fillId="0" borderId="0" xfId="117"/>
    <xf numFmtId="0" fontId="56" fillId="0" borderId="0" xfId="116" applyFont="1"/>
    <xf numFmtId="168" fontId="0" fillId="0" borderId="0" xfId="63" applyNumberFormat="1" applyFont="1"/>
    <xf numFmtId="168" fontId="0" fillId="0" borderId="0" xfId="63" applyNumberFormat="1" applyFont="1" applyAlignment="1">
      <alignment vertical="top"/>
    </xf>
    <xf numFmtId="169" fontId="19" fillId="0" borderId="0" xfId="115" applyNumberFormat="1"/>
    <xf numFmtId="0" fontId="31" fillId="0" borderId="0" xfId="118" applyFont="1"/>
    <xf numFmtId="0" fontId="19" fillId="0" borderId="0" xfId="120"/>
    <xf numFmtId="166" fontId="19" fillId="0" borderId="0" xfId="120" applyNumberFormat="1"/>
    <xf numFmtId="168" fontId="20" fillId="47" borderId="0" xfId="63" applyNumberFormat="1" applyFill="1"/>
    <xf numFmtId="168" fontId="20" fillId="0" borderId="20" xfId="63" applyNumberFormat="1" applyBorder="1"/>
    <xf numFmtId="168" fontId="20" fillId="0" borderId="0" xfId="63" applyNumberFormat="1" applyBorder="1"/>
    <xf numFmtId="168" fontId="20" fillId="0" borderId="0" xfId="63" applyNumberFormat="1"/>
    <xf numFmtId="168" fontId="58" fillId="0" borderId="0" xfId="63" applyNumberFormat="1" applyFont="1" applyBorder="1"/>
    <xf numFmtId="168" fontId="62" fillId="0" borderId="0" xfId="63" applyNumberFormat="1" applyFont="1" applyBorder="1" applyAlignment="1">
      <alignment vertical="center"/>
    </xf>
    <xf numFmtId="168" fontId="0" fillId="0" borderId="0" xfId="63" applyNumberFormat="1" applyFont="1" applyBorder="1"/>
    <xf numFmtId="0" fontId="54" fillId="0" borderId="11" xfId="119" applyFont="1" applyFill="1" applyBorder="1" applyAlignment="1">
      <alignment horizontal="center" vertical="center"/>
    </xf>
    <xf numFmtId="3" fontId="54" fillId="0" borderId="11" xfId="119" applyNumberFormat="1" applyFont="1" applyBorder="1" applyAlignment="1">
      <alignment horizontal="right" vertical="center"/>
    </xf>
    <xf numFmtId="3" fontId="54" fillId="0" borderId="11" xfId="119" applyNumberFormat="1" applyFont="1" applyFill="1" applyBorder="1" applyAlignment="1">
      <alignment horizontal="right" vertical="center"/>
    </xf>
    <xf numFmtId="166" fontId="54" fillId="0" borderId="11" xfId="119" applyNumberFormat="1" applyFont="1" applyFill="1" applyBorder="1" applyAlignment="1">
      <alignment horizontal="right" vertical="center"/>
    </xf>
    <xf numFmtId="0" fontId="34" fillId="0" borderId="11" xfId="119" applyFont="1" applyFill="1" applyBorder="1" applyAlignment="1">
      <alignment horizontal="center" vertical="center"/>
    </xf>
    <xf numFmtId="3" fontId="34" fillId="0" borderId="11" xfId="119" applyNumberFormat="1" applyFont="1" applyFill="1" applyBorder="1" applyAlignment="1">
      <alignment horizontal="right" vertical="center"/>
    </xf>
    <xf numFmtId="166" fontId="34" fillId="0" borderId="11" xfId="119" applyNumberFormat="1" applyFont="1" applyFill="1" applyBorder="1" applyAlignment="1">
      <alignment horizontal="right" vertical="center"/>
    </xf>
    <xf numFmtId="0" fontId="36" fillId="0" borderId="0" xfId="119" applyFont="1" applyFill="1" applyBorder="1" applyAlignment="1">
      <alignment horizontal="center" vertical="center"/>
    </xf>
    <xf numFmtId="3" fontId="36" fillId="0" borderId="0" xfId="119" applyNumberFormat="1" applyFont="1" applyFill="1" applyBorder="1" applyAlignment="1">
      <alignment vertical="center"/>
    </xf>
    <xf numFmtId="166" fontId="36" fillId="0" borderId="0" xfId="119" applyNumberFormat="1" applyFont="1" applyFill="1" applyBorder="1" applyAlignment="1">
      <alignment vertical="center"/>
    </xf>
    <xf numFmtId="0" fontId="37" fillId="0" borderId="11" xfId="119" applyFont="1" applyFill="1" applyBorder="1" applyAlignment="1">
      <alignment horizontal="center" vertical="center" textRotation="90"/>
    </xf>
    <xf numFmtId="0" fontId="37" fillId="0" borderId="11" xfId="119" applyFont="1" applyFill="1" applyBorder="1" applyAlignment="1">
      <alignment horizontal="center" vertical="center" textRotation="90" wrapText="1"/>
    </xf>
    <xf numFmtId="0" fontId="37" fillId="0" borderId="11" xfId="119" applyFont="1" applyFill="1" applyBorder="1" applyAlignment="1">
      <alignment horizontal="center"/>
    </xf>
    <xf numFmtId="3" fontId="54" fillId="0" borderId="11" xfId="119" applyNumberFormat="1" applyFont="1" applyFill="1" applyBorder="1" applyAlignment="1">
      <alignment horizontal="right"/>
    </xf>
    <xf numFmtId="166" fontId="54" fillId="0" borderId="11" xfId="119" applyNumberFormat="1" applyFont="1" applyFill="1" applyBorder="1" applyAlignment="1">
      <alignment horizontal="right"/>
    </xf>
    <xf numFmtId="3" fontId="54" fillId="0" borderId="0" xfId="119" applyNumberFormat="1" applyFont="1" applyAlignment="1">
      <alignment horizontal="right"/>
    </xf>
    <xf numFmtId="0" fontId="46" fillId="0" borderId="0" xfId="121" applyFont="1" applyFill="1"/>
    <xf numFmtId="0" fontId="46" fillId="0" borderId="0" xfId="121" applyFont="1" applyFill="1" applyAlignment="1">
      <alignment horizontal="center"/>
    </xf>
    <xf numFmtId="2" fontId="46" fillId="0" borderId="0" xfId="121" applyNumberFormat="1" applyFont="1" applyFill="1" applyAlignment="1">
      <alignment horizontal="center"/>
    </xf>
    <xf numFmtId="0" fontId="67" fillId="0" borderId="0" xfId="121" applyFont="1" applyFill="1"/>
    <xf numFmtId="0" fontId="19" fillId="0" borderId="0" xfId="115" applyFill="1"/>
    <xf numFmtId="0" fontId="19" fillId="0" borderId="0" xfId="115" applyFont="1" applyFill="1"/>
    <xf numFmtId="3" fontId="19" fillId="0" borderId="0" xfId="115" applyNumberFormat="1" applyFill="1"/>
    <xf numFmtId="166" fontId="31" fillId="0" borderId="0" xfId="123" applyNumberFormat="1" applyFont="1"/>
    <xf numFmtId="0" fontId="42" fillId="0" borderId="0" xfId="123" applyFont="1"/>
    <xf numFmtId="0" fontId="31" fillId="0" borderId="0" xfId="123" applyFont="1"/>
    <xf numFmtId="0" fontId="70" fillId="0" borderId="0" xfId="123" applyFont="1"/>
    <xf numFmtId="166" fontId="31" fillId="0" borderId="0" xfId="115" applyNumberFormat="1" applyFont="1"/>
    <xf numFmtId="171" fontId="31" fillId="0" borderId="0" xfId="123" applyNumberFormat="1" applyFont="1"/>
    <xf numFmtId="0" fontId="70" fillId="0" borderId="0" xfId="115" applyFont="1"/>
    <xf numFmtId="0" fontId="71" fillId="0" borderId="0" xfId="115" applyFont="1"/>
    <xf numFmtId="0" fontId="71" fillId="0" borderId="0" xfId="123" applyFont="1"/>
    <xf numFmtId="166" fontId="31" fillId="0" borderId="0" xfId="123" applyNumberFormat="1" applyFont="1" applyFill="1"/>
    <xf numFmtId="0" fontId="42" fillId="0" borderId="0" xfId="115" applyFont="1"/>
    <xf numFmtId="0" fontId="64" fillId="0" borderId="0" xfId="115" applyFont="1"/>
    <xf numFmtId="0" fontId="54" fillId="0" borderId="0" xfId="115" applyFont="1"/>
    <xf numFmtId="166" fontId="31" fillId="0" borderId="0" xfId="112" applyNumberFormat="1" applyFont="1"/>
    <xf numFmtId="0" fontId="50" fillId="0" borderId="0" xfId="115" applyFont="1"/>
    <xf numFmtId="0" fontId="41" fillId="0" borderId="0" xfId="115" applyFont="1" applyAlignment="1">
      <alignment horizontal="center" vertical="center"/>
    </xf>
    <xf numFmtId="0" fontId="75" fillId="0" borderId="11" xfId="115" applyFont="1" applyBorder="1"/>
    <xf numFmtId="0" fontId="51" fillId="0" borderId="0" xfId="115" applyFont="1"/>
    <xf numFmtId="0" fontId="73" fillId="0" borderId="0" xfId="115" applyFont="1"/>
    <xf numFmtId="166" fontId="73" fillId="0" borderId="0" xfId="115" applyNumberFormat="1" applyFont="1" applyAlignment="1">
      <alignment horizontal="right"/>
    </xf>
    <xf numFmtId="0" fontId="33" fillId="0" borderId="0" xfId="115" applyFont="1" applyAlignment="1">
      <alignment horizontal="center" vertical="center"/>
    </xf>
    <xf numFmtId="0" fontId="31" fillId="0" borderId="0" xfId="1" applyFont="1"/>
    <xf numFmtId="0" fontId="50" fillId="0" borderId="30" xfId="1" applyFont="1" applyBorder="1" applyAlignment="1">
      <alignment horizontal="left" vertical="center"/>
    </xf>
    <xf numFmtId="0" fontId="77" fillId="0" borderId="0" xfId="1" applyFont="1" applyBorder="1" applyAlignment="1">
      <alignment horizontal="left" vertical="center"/>
    </xf>
    <xf numFmtId="0" fontId="34" fillId="0" borderId="0" xfId="1" applyFont="1" applyFill="1" applyAlignment="1">
      <alignment horizontal="center" vertical="center"/>
    </xf>
    <xf numFmtId="0" fontId="34" fillId="44" borderId="23" xfId="1" applyFont="1" applyFill="1" applyBorder="1" applyAlignment="1">
      <alignment horizontal="center" vertical="center"/>
    </xf>
    <xf numFmtId="0" fontId="45" fillId="44" borderId="23" xfId="1" applyFont="1" applyFill="1" applyBorder="1" applyAlignment="1">
      <alignment horizontal="center" vertical="center"/>
    </xf>
    <xf numFmtId="0" fontId="34" fillId="44" borderId="31" xfId="1" applyFont="1" applyFill="1" applyBorder="1" applyAlignment="1">
      <alignment horizontal="center" vertical="center"/>
    </xf>
    <xf numFmtId="0" fontId="56" fillId="44" borderId="23" xfId="116" applyFont="1" applyFill="1" applyBorder="1" applyAlignment="1">
      <alignment horizontal="center" vertical="center"/>
    </xf>
    <xf numFmtId="0" fontId="45" fillId="44" borderId="31" xfId="1" applyFont="1" applyFill="1" applyBorder="1" applyAlignment="1">
      <alignment horizontal="center" vertical="center"/>
    </xf>
    <xf numFmtId="0" fontId="51" fillId="44" borderId="23" xfId="1" applyFont="1" applyFill="1" applyBorder="1" applyAlignment="1">
      <alignment horizontal="center" vertical="center"/>
    </xf>
    <xf numFmtId="0" fontId="51" fillId="44" borderId="31" xfId="1" applyFont="1" applyFill="1" applyBorder="1" applyAlignment="1">
      <alignment horizontal="center" vertical="center"/>
    </xf>
    <xf numFmtId="0" fontId="45" fillId="0" borderId="0" xfId="1" applyFont="1" applyFill="1" applyAlignment="1">
      <alignment horizontal="center" vertical="center"/>
    </xf>
    <xf numFmtId="0" fontId="34" fillId="44" borderId="0" xfId="1" applyFont="1" applyFill="1" applyAlignment="1">
      <alignment horizontal="center" vertical="center"/>
    </xf>
    <xf numFmtId="0" fontId="46" fillId="0" borderId="0" xfId="121" applyFont="1" applyFill="1" applyAlignment="1">
      <alignment horizontal="center"/>
    </xf>
    <xf numFmtId="3" fontId="39" fillId="0" borderId="0" xfId="115" applyNumberFormat="1" applyFont="1" applyFill="1" applyBorder="1" applyAlignment="1">
      <alignment horizontal="right" vertical="center"/>
    </xf>
    <xf numFmtId="3" fontId="36" fillId="0" borderId="0" xfId="115" applyNumberFormat="1" applyFont="1" applyFill="1" applyBorder="1" applyAlignment="1">
      <alignment horizontal="right" vertical="center"/>
    </xf>
    <xf numFmtId="0" fontId="39" fillId="0" borderId="0" xfId="115" applyFont="1" applyFill="1" applyAlignment="1">
      <alignment vertical="center"/>
    </xf>
    <xf numFmtId="0" fontId="40" fillId="0" borderId="0" xfId="115" applyFont="1" applyFill="1" applyAlignment="1">
      <alignment vertical="center"/>
    </xf>
    <xf numFmtId="0" fontId="31" fillId="0" borderId="0" xfId="1" applyFont="1" applyAlignment="1">
      <alignment vertical="center"/>
    </xf>
    <xf numFmtId="0" fontId="56" fillId="44" borderId="31" xfId="116" applyFont="1" applyFill="1" applyBorder="1" applyAlignment="1">
      <alignment horizontal="center" vertical="center"/>
    </xf>
    <xf numFmtId="0" fontId="39" fillId="0" borderId="0" xfId="115" applyFont="1" applyFill="1" applyBorder="1" applyAlignment="1">
      <alignment horizontal="centerContinuous" vertical="center"/>
    </xf>
    <xf numFmtId="3" fontId="39" fillId="0" borderId="0" xfId="115" applyNumberFormat="1" applyFont="1" applyFill="1" applyBorder="1" applyAlignment="1">
      <alignment horizontal="centerContinuous" vertical="center"/>
    </xf>
    <xf numFmtId="0" fontId="61" fillId="0" borderId="11" xfId="0" applyFont="1" applyBorder="1" applyAlignment="1">
      <alignment vertical="center" wrapText="1"/>
    </xf>
    <xf numFmtId="0" fontId="50" fillId="0" borderId="11" xfId="0" applyFont="1" applyBorder="1" applyAlignment="1">
      <alignment vertical="center" wrapText="1"/>
    </xf>
    <xf numFmtId="0" fontId="61" fillId="0" borderId="11" xfId="0" applyFont="1" applyBorder="1" applyAlignment="1">
      <alignment horizontal="center" vertical="center"/>
    </xf>
    <xf numFmtId="0" fontId="39" fillId="0" borderId="0" xfId="115" applyFont="1" applyFill="1" applyBorder="1" applyAlignment="1">
      <alignment horizontal="center" vertical="center"/>
    </xf>
    <xf numFmtId="165" fontId="36" fillId="0" borderId="11" xfId="115" applyNumberFormat="1" applyFont="1" applyFill="1" applyBorder="1" applyAlignment="1">
      <alignment horizontal="right" vertical="center"/>
    </xf>
    <xf numFmtId="3" fontId="36" fillId="0" borderId="11" xfId="115" applyNumberFormat="1" applyFont="1" applyFill="1" applyBorder="1" applyAlignment="1">
      <alignment horizontal="right" vertical="center"/>
    </xf>
    <xf numFmtId="3" fontId="61" fillId="0" borderId="11" xfId="0" applyNumberFormat="1" applyFont="1" applyBorder="1" applyAlignment="1">
      <alignment vertical="center" wrapText="1"/>
    </xf>
    <xf numFmtId="3" fontId="61" fillId="0" borderId="11" xfId="0" applyNumberFormat="1" applyFont="1" applyBorder="1" applyAlignment="1">
      <alignment horizontal="center" vertical="center"/>
    </xf>
    <xf numFmtId="0" fontId="36" fillId="0" borderId="11" xfId="115" applyFont="1" applyFill="1" applyBorder="1" applyAlignment="1">
      <alignment horizontal="center" vertical="center" wrapText="1"/>
    </xf>
    <xf numFmtId="3" fontId="61" fillId="0" borderId="11" xfId="0" applyNumberFormat="1" applyFont="1" applyBorder="1" applyAlignment="1">
      <alignment horizontal="right" vertical="center"/>
    </xf>
    <xf numFmtId="165" fontId="37" fillId="0" borderId="11" xfId="115" applyNumberFormat="1" applyFont="1" applyFill="1" applyBorder="1" applyAlignment="1">
      <alignment horizontal="right" vertical="center"/>
    </xf>
    <xf numFmtId="3" fontId="50" fillId="0" borderId="11" xfId="0" applyNumberFormat="1" applyFont="1" applyBorder="1" applyAlignment="1">
      <alignment horizontal="right" vertical="center"/>
    </xf>
    <xf numFmtId="3" fontId="37" fillId="0" borderId="11" xfId="115" applyNumberFormat="1" applyFont="1" applyFill="1" applyBorder="1" applyAlignment="1">
      <alignment horizontal="right" vertical="center"/>
    </xf>
    <xf numFmtId="0" fontId="36" fillId="0" borderId="11" xfId="110" applyFont="1" applyFill="1" applyBorder="1" applyAlignment="1">
      <alignment horizontal="left" vertical="center"/>
    </xf>
    <xf numFmtId="0" fontId="36" fillId="0" borderId="11" xfId="110" applyFont="1" applyFill="1" applyBorder="1" applyAlignment="1">
      <alignment horizontal="left" vertical="center" wrapText="1"/>
    </xf>
    <xf numFmtId="0" fontId="37" fillId="0" borderId="11" xfId="110" applyFont="1" applyFill="1" applyBorder="1" applyAlignment="1">
      <alignment horizontal="left" vertical="center"/>
    </xf>
    <xf numFmtId="0" fontId="37" fillId="0" borderId="11" xfId="110" applyFont="1" applyFill="1" applyBorder="1" applyAlignment="1">
      <alignment horizontal="left" vertical="center" wrapText="1"/>
    </xf>
    <xf numFmtId="0" fontId="36" fillId="0" borderId="11" xfId="110" quotePrefix="1" applyFont="1" applyFill="1" applyBorder="1" applyAlignment="1">
      <alignment horizontal="left" vertical="center" wrapText="1"/>
    </xf>
    <xf numFmtId="0" fontId="37" fillId="0" borderId="11" xfId="110" quotePrefix="1" applyFont="1" applyFill="1" applyBorder="1" applyAlignment="1">
      <alignment horizontal="left" vertical="center" wrapText="1"/>
    </xf>
    <xf numFmtId="0" fontId="77" fillId="44" borderId="22" xfId="1" applyFont="1" applyFill="1" applyBorder="1" applyAlignment="1">
      <alignment horizontal="center" vertical="center" wrapText="1"/>
    </xf>
    <xf numFmtId="0" fontId="37" fillId="0" borderId="0" xfId="117" applyFont="1"/>
    <xf numFmtId="0" fontId="64" fillId="0" borderId="0" xfId="121" applyFont="1" applyFill="1" applyAlignment="1">
      <alignment horizontal="center" vertical="center" wrapText="1"/>
    </xf>
    <xf numFmtId="0" fontId="82" fillId="0" borderId="0" xfId="0" applyFont="1" applyAlignment="1">
      <alignment horizontal="center" vertical="center" wrapText="1"/>
    </xf>
    <xf numFmtId="0" fontId="83" fillId="0" borderId="0" xfId="0" applyFont="1" applyAlignment="1">
      <alignment horizontal="left" vertical="center" readingOrder="1"/>
    </xf>
    <xf numFmtId="0" fontId="84" fillId="0" borderId="0" xfId="0" applyFont="1" applyAlignment="1">
      <alignment horizontal="center" vertical="center" readingOrder="1"/>
    </xf>
    <xf numFmtId="0" fontId="52" fillId="0" borderId="0" xfId="115" applyFont="1" applyAlignment="1">
      <alignment horizontal="centerContinuous" vertical="center" wrapText="1"/>
    </xf>
    <xf numFmtId="0" fontId="52" fillId="0" borderId="0" xfId="115" applyFont="1" applyAlignment="1">
      <alignment horizontal="center"/>
    </xf>
    <xf numFmtId="166" fontId="52" fillId="0" borderId="0" xfId="115" applyNumberFormat="1" applyFont="1" applyFill="1" applyAlignment="1">
      <alignment horizontal="center"/>
    </xf>
    <xf numFmtId="2" fontId="52" fillId="0" borderId="0" xfId="115" applyNumberFormat="1" applyFont="1" applyAlignment="1">
      <alignment horizontal="center"/>
    </xf>
    <xf numFmtId="0" fontId="52" fillId="0" borderId="0" xfId="115" applyFont="1" applyAlignment="1">
      <alignment horizontal="right" vertical="center"/>
    </xf>
    <xf numFmtId="2" fontId="52" fillId="0" borderId="0" xfId="115" applyNumberFormat="1" applyFont="1" applyAlignment="1">
      <alignment horizontal="right" vertical="center"/>
    </xf>
    <xf numFmtId="0" fontId="68" fillId="0" borderId="0" xfId="115" applyFont="1" applyAlignment="1">
      <alignment horizontal="right" vertical="center"/>
    </xf>
    <xf numFmtId="166" fontId="68" fillId="0" borderId="0" xfId="115" applyNumberFormat="1" applyFont="1" applyAlignment="1">
      <alignment horizontal="right" vertical="center"/>
    </xf>
    <xf numFmtId="0" fontId="68" fillId="0" borderId="0" xfId="115" applyFont="1" applyAlignment="1">
      <alignment horizontal="right" vertical="center" wrapText="1"/>
    </xf>
    <xf numFmtId="166" fontId="68" fillId="0" borderId="0" xfId="115" applyNumberFormat="1" applyFont="1"/>
    <xf numFmtId="0" fontId="69" fillId="0" borderId="0" xfId="115" applyFont="1"/>
    <xf numFmtId="0" fontId="68" fillId="0" borderId="0" xfId="115" applyFont="1" applyAlignment="1">
      <alignment horizontal="right"/>
    </xf>
    <xf numFmtId="166" fontId="68" fillId="0" borderId="0" xfId="115" applyNumberFormat="1" applyFont="1" applyAlignment="1">
      <alignment horizontal="right"/>
    </xf>
    <xf numFmtId="166" fontId="52" fillId="0" borderId="0" xfId="115" applyNumberFormat="1" applyFont="1"/>
    <xf numFmtId="0" fontId="51" fillId="0" borderId="11" xfId="115" applyFont="1" applyBorder="1" applyAlignment="1">
      <alignment horizontal="left" vertical="center"/>
    </xf>
    <xf numFmtId="0" fontId="73" fillId="0" borderId="11" xfId="115" applyFont="1" applyBorder="1" applyAlignment="1">
      <alignment horizontal="left" vertical="center"/>
    </xf>
    <xf numFmtId="165" fontId="51" fillId="0" borderId="11" xfId="115" applyNumberFormat="1" applyFont="1" applyBorder="1" applyAlignment="1">
      <alignment horizontal="right" vertical="center"/>
    </xf>
    <xf numFmtId="165" fontId="73" fillId="0" borderId="11" xfId="115" applyNumberFormat="1" applyFont="1" applyBorder="1" applyAlignment="1">
      <alignment horizontal="right" vertical="center"/>
    </xf>
    <xf numFmtId="166" fontId="51" fillId="0" borderId="11" xfId="115" applyNumberFormat="1" applyFont="1" applyBorder="1" applyAlignment="1">
      <alignment horizontal="right" vertical="center"/>
    </xf>
    <xf numFmtId="166" fontId="73" fillId="0" borderId="11" xfId="115" applyNumberFormat="1" applyFont="1" applyBorder="1" applyAlignment="1">
      <alignment vertical="center"/>
    </xf>
    <xf numFmtId="0" fontId="72" fillId="0" borderId="11" xfId="115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31" fillId="0" borderId="0" xfId="0" applyFont="1"/>
    <xf numFmtId="0" fontId="85" fillId="0" borderId="0" xfId="0" applyFont="1"/>
    <xf numFmtId="0" fontId="37" fillId="0" borderId="0" xfId="1" applyFont="1"/>
    <xf numFmtId="0" fontId="31" fillId="0" borderId="11" xfId="1" applyFont="1" applyBorder="1" applyAlignment="1">
      <alignment horizontal="center" vertical="center"/>
    </xf>
    <xf numFmtId="0" fontId="42" fillId="0" borderId="11" xfId="1" applyFont="1" applyBorder="1" applyAlignment="1">
      <alignment horizontal="center" vertical="center"/>
    </xf>
    <xf numFmtId="0" fontId="31" fillId="0" borderId="11" xfId="1" applyFont="1" applyBorder="1"/>
    <xf numFmtId="0" fontId="42" fillId="0" borderId="11" xfId="1" applyFont="1" applyBorder="1"/>
    <xf numFmtId="166" fontId="31" fillId="0" borderId="11" xfId="1" applyNumberFormat="1" applyFont="1" applyBorder="1"/>
    <xf numFmtId="0" fontId="48" fillId="0" borderId="11" xfId="1" applyFont="1" applyBorder="1"/>
    <xf numFmtId="0" fontId="48" fillId="0" borderId="0" xfId="1" applyFont="1"/>
    <xf numFmtId="0" fontId="48" fillId="0" borderId="11" xfId="1" applyFont="1" applyBorder="1" applyAlignment="1">
      <alignment vertical="center"/>
    </xf>
    <xf numFmtId="166" fontId="48" fillId="0" borderId="11" xfId="1" applyNumberFormat="1" applyFont="1" applyBorder="1" applyAlignment="1">
      <alignment vertical="center"/>
    </xf>
    <xf numFmtId="0" fontId="48" fillId="0" borderId="0" xfId="1" applyFont="1" applyAlignment="1">
      <alignment vertical="center"/>
    </xf>
    <xf numFmtId="0" fontId="42" fillId="0" borderId="0" xfId="1" applyFont="1"/>
    <xf numFmtId="0" fontId="31" fillId="49" borderId="0" xfId="114" applyFont="1" applyFill="1"/>
    <xf numFmtId="166" fontId="0" fillId="0" borderId="0" xfId="0" applyNumberFormat="1"/>
    <xf numFmtId="0" fontId="1" fillId="0" borderId="0" xfId="120" applyFont="1"/>
    <xf numFmtId="168" fontId="1" fillId="0" borderId="0" xfId="63" applyNumberFormat="1" applyFont="1"/>
    <xf numFmtId="170" fontId="1" fillId="0" borderId="0" xfId="63" applyNumberFormat="1" applyFont="1"/>
    <xf numFmtId="1" fontId="0" fillId="0" borderId="0" xfId="0" applyNumberFormat="1"/>
    <xf numFmtId="0" fontId="54" fillId="0" borderId="11" xfId="0" applyFont="1" applyFill="1" applyBorder="1" applyAlignment="1">
      <alignment horizontal="center"/>
    </xf>
    <xf numFmtId="3" fontId="54" fillId="0" borderId="11" xfId="0" applyNumberFormat="1" applyFont="1" applyFill="1" applyBorder="1"/>
    <xf numFmtId="3" fontId="43" fillId="0" borderId="18" xfId="0" applyNumberFormat="1" applyFont="1" applyFill="1" applyBorder="1"/>
    <xf numFmtId="168" fontId="43" fillId="0" borderId="18" xfId="63" applyNumberFormat="1" applyFont="1" applyFill="1" applyBorder="1"/>
    <xf numFmtId="0" fontId="0" fillId="0" borderId="0" xfId="0" applyBorder="1"/>
    <xf numFmtId="3" fontId="43" fillId="0" borderId="0" xfId="0" applyNumberFormat="1" applyFont="1" applyFill="1" applyBorder="1"/>
    <xf numFmtId="168" fontId="43" fillId="0" borderId="0" xfId="63" applyNumberFormat="1" applyFont="1" applyFill="1" applyBorder="1"/>
    <xf numFmtId="0" fontId="34" fillId="0" borderId="11" xfId="0" applyFont="1" applyBorder="1" applyAlignment="1">
      <alignment horizontal="center"/>
    </xf>
    <xf numFmtId="3" fontId="34" fillId="0" borderId="11" xfId="0" applyNumberFormat="1" applyFont="1" applyBorder="1"/>
    <xf numFmtId="0" fontId="66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58" fillId="0" borderId="0" xfId="0" applyNumberFormat="1" applyFont="1" applyAlignment="1">
      <alignment horizontal="right"/>
    </xf>
    <xf numFmtId="0" fontId="58" fillId="0" borderId="0" xfId="0" applyFont="1" applyBorder="1"/>
    <xf numFmtId="0" fontId="62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0" fillId="47" borderId="29" xfId="0" applyFill="1" applyBorder="1" applyAlignment="1">
      <alignment horizontal="center"/>
    </xf>
    <xf numFmtId="3" fontId="0" fillId="47" borderId="29" xfId="0" applyNumberFormat="1" applyFill="1" applyBorder="1"/>
    <xf numFmtId="4" fontId="0" fillId="47" borderId="29" xfId="0" applyNumberFormat="1" applyFill="1" applyBorder="1"/>
    <xf numFmtId="1" fontId="85" fillId="0" borderId="0" xfId="0" applyNumberFormat="1" applyFont="1"/>
    <xf numFmtId="0" fontId="85" fillId="0" borderId="0" xfId="0" applyFont="1" applyBorder="1"/>
    <xf numFmtId="2" fontId="85" fillId="0" borderId="0" xfId="0" applyNumberFormat="1" applyFont="1" applyBorder="1"/>
    <xf numFmtId="0" fontId="85" fillId="0" borderId="0" xfId="0" applyFont="1" applyFill="1" applyBorder="1"/>
    <xf numFmtId="166" fontId="85" fillId="0" borderId="0" xfId="0" applyNumberFormat="1" applyFont="1"/>
    <xf numFmtId="0" fontId="63" fillId="0" borderId="0" xfId="0" applyFont="1"/>
    <xf numFmtId="166" fontId="73" fillId="0" borderId="11" xfId="115" applyNumberFormat="1" applyFont="1" applyBorder="1" applyAlignment="1">
      <alignment horizontal="right" vertical="center"/>
    </xf>
    <xf numFmtId="0" fontId="50" fillId="0" borderId="0" xfId="0" applyFont="1"/>
    <xf numFmtId="0" fontId="50" fillId="0" borderId="0" xfId="0" applyFont="1" applyAlignment="1">
      <alignment horizontal="center"/>
    </xf>
    <xf numFmtId="0" fontId="50" fillId="0" borderId="11" xfId="0" applyFont="1" applyBorder="1"/>
    <xf numFmtId="0" fontId="50" fillId="0" borderId="11" xfId="0" applyFont="1" applyBorder="1" applyAlignment="1">
      <alignment horizontal="center"/>
    </xf>
    <xf numFmtId="0" fontId="50" fillId="0" borderId="11" xfId="0" applyFont="1" applyBorder="1" applyAlignment="1">
      <alignment horizontal="center" wrapText="1"/>
    </xf>
    <xf numFmtId="168" fontId="50" fillId="0" borderId="11" xfId="63" applyNumberFormat="1" applyFont="1" applyBorder="1" applyAlignment="1">
      <alignment horizontal="center"/>
    </xf>
    <xf numFmtId="0" fontId="56" fillId="0" borderId="0" xfId="116" applyFont="1" applyAlignment="1">
      <alignment horizontal="left" vertical="center" wrapText="1"/>
    </xf>
    <xf numFmtId="0" fontId="31" fillId="0" borderId="11" xfId="114" applyFont="1" applyBorder="1" applyAlignment="1" applyProtection="1">
      <alignment horizontal="left" vertical="center" wrapText="1"/>
      <protection locked="0"/>
    </xf>
    <xf numFmtId="166" fontId="31" fillId="0" borderId="11" xfId="114" applyNumberFormat="1" applyFont="1" applyBorder="1"/>
    <xf numFmtId="166" fontId="31" fillId="49" borderId="11" xfId="114" applyNumberFormat="1" applyFont="1" applyFill="1" applyBorder="1"/>
    <xf numFmtId="0" fontId="31" fillId="0" borderId="11" xfId="114" applyFont="1" applyBorder="1"/>
    <xf numFmtId="0" fontId="31" fillId="0" borderId="11" xfId="114" applyFont="1" applyBorder="1" applyAlignment="1">
      <alignment vertical="center" wrapText="1"/>
    </xf>
    <xf numFmtId="0" fontId="31" fillId="49" borderId="11" xfId="114" applyFont="1" applyFill="1" applyBorder="1"/>
    <xf numFmtId="166" fontId="31" fillId="0" borderId="11" xfId="114" applyNumberFormat="1" applyFont="1" applyFill="1" applyBorder="1" applyAlignment="1">
      <alignment horizontal="right"/>
    </xf>
    <xf numFmtId="166" fontId="31" fillId="0" borderId="11" xfId="114" applyNumberFormat="1" applyFont="1" applyBorder="1" applyAlignment="1">
      <alignment horizontal="right"/>
    </xf>
    <xf numFmtId="0" fontId="31" fillId="0" borderId="11" xfId="114" applyFont="1" applyBorder="1" applyAlignment="1">
      <alignment horizontal="right"/>
    </xf>
    <xf numFmtId="166" fontId="31" fillId="0" borderId="11" xfId="114" applyNumberFormat="1" applyFont="1" applyBorder="1" applyAlignment="1">
      <alignment vertical="center"/>
    </xf>
    <xf numFmtId="0" fontId="52" fillId="0" borderId="0" xfId="115" applyFont="1" applyAlignment="1">
      <alignment horizontal="center" vertical="center"/>
    </xf>
    <xf numFmtId="0" fontId="31" fillId="0" borderId="0" xfId="114" applyFont="1" applyAlignment="1">
      <alignment horizontal="center" vertical="center"/>
    </xf>
    <xf numFmtId="166" fontId="31" fillId="0" borderId="11" xfId="114" applyNumberFormat="1" applyFont="1" applyBorder="1" applyAlignment="1">
      <alignment horizontal="center" vertical="center"/>
    </xf>
    <xf numFmtId="0" fontId="31" fillId="0" borderId="11" xfId="114" applyFont="1" applyFill="1" applyBorder="1" applyAlignment="1">
      <alignment vertical="center" wrapText="1"/>
    </xf>
    <xf numFmtId="0" fontId="31" fillId="0" borderId="11" xfId="114" applyFont="1" applyFill="1" applyBorder="1"/>
    <xf numFmtId="166" fontId="31" fillId="0" borderId="11" xfId="114" applyNumberFormat="1" applyFont="1" applyFill="1" applyBorder="1"/>
    <xf numFmtId="0" fontId="31" fillId="0" borderId="11" xfId="114" applyFont="1" applyFill="1" applyBorder="1" applyAlignment="1">
      <alignment horizontal="center" vertical="center"/>
    </xf>
    <xf numFmtId="166" fontId="31" fillId="0" borderId="11" xfId="114" applyNumberFormat="1" applyFont="1" applyFill="1" applyBorder="1" applyAlignment="1">
      <alignment horizontal="center" vertical="center"/>
    </xf>
    <xf numFmtId="0" fontId="36" fillId="0" borderId="11" xfId="114" applyFont="1" applyFill="1" applyBorder="1" applyAlignment="1">
      <alignment vertical="center" wrapText="1"/>
    </xf>
    <xf numFmtId="166" fontId="37" fillId="0" borderId="11" xfId="114" applyNumberFormat="1" applyFont="1" applyFill="1" applyBorder="1"/>
    <xf numFmtId="166" fontId="37" fillId="49" borderId="11" xfId="114" applyNumberFormat="1" applyFont="1" applyFill="1" applyBorder="1"/>
    <xf numFmtId="166" fontId="36" fillId="0" borderId="11" xfId="114" applyNumberFormat="1" applyFont="1" applyFill="1" applyBorder="1"/>
    <xf numFmtId="166" fontId="36" fillId="0" borderId="11" xfId="114" applyNumberFormat="1" applyFont="1" applyFill="1" applyBorder="1" applyAlignment="1">
      <alignment horizontal="center" vertical="center"/>
    </xf>
    <xf numFmtId="0" fontId="42" fillId="0" borderId="11" xfId="114" applyFont="1" applyFill="1" applyBorder="1" applyAlignment="1">
      <alignment vertical="center" wrapText="1"/>
    </xf>
    <xf numFmtId="166" fontId="42" fillId="0" borderId="11" xfId="114" applyNumberFormat="1" applyFont="1" applyFill="1" applyBorder="1" applyAlignment="1">
      <alignment vertical="center"/>
    </xf>
    <xf numFmtId="166" fontId="42" fillId="49" borderId="11" xfId="114" applyNumberFormat="1" applyFont="1" applyFill="1" applyBorder="1" applyAlignment="1">
      <alignment vertical="center"/>
    </xf>
    <xf numFmtId="166" fontId="42" fillId="0" borderId="11" xfId="114" applyNumberFormat="1" applyFont="1" applyBorder="1" applyAlignment="1">
      <alignment vertical="center"/>
    </xf>
    <xf numFmtId="166" fontId="42" fillId="0" borderId="11" xfId="114" applyNumberFormat="1" applyFont="1" applyBorder="1" applyAlignment="1">
      <alignment horizontal="center" vertical="center"/>
    </xf>
    <xf numFmtId="2" fontId="31" fillId="49" borderId="11" xfId="114" applyNumberFormat="1" applyFont="1" applyFill="1" applyBorder="1"/>
    <xf numFmtId="166" fontId="31" fillId="0" borderId="11" xfId="114" quotePrefix="1" applyNumberFormat="1" applyFont="1" applyBorder="1" applyAlignment="1">
      <alignment horizontal="right"/>
    </xf>
    <xf numFmtId="0" fontId="31" fillId="0" borderId="11" xfId="114" quotePrefix="1" applyFont="1" applyBorder="1" applyAlignment="1">
      <alignment horizontal="right"/>
    </xf>
    <xf numFmtId="2" fontId="31" fillId="49" borderId="11" xfId="114" applyNumberFormat="1" applyFont="1" applyFill="1" applyBorder="1" applyAlignment="1">
      <alignment vertical="center"/>
    </xf>
    <xf numFmtId="0" fontId="31" fillId="0" borderId="11" xfId="114" quotePrefix="1" applyFont="1" applyBorder="1" applyAlignment="1">
      <alignment horizontal="center" vertical="center"/>
    </xf>
    <xf numFmtId="166" fontId="31" fillId="0" borderId="11" xfId="114" quotePrefix="1" applyNumberFormat="1" applyFont="1" applyBorder="1" applyAlignment="1">
      <alignment horizontal="center" vertical="center"/>
    </xf>
    <xf numFmtId="0" fontId="42" fillId="0" borderId="11" xfId="114" applyFont="1" applyBorder="1" applyAlignment="1">
      <alignment vertical="center" wrapText="1"/>
    </xf>
    <xf numFmtId="0" fontId="42" fillId="0" borderId="11" xfId="114" applyFont="1" applyBorder="1" applyAlignment="1">
      <alignment vertical="center"/>
    </xf>
    <xf numFmtId="2" fontId="42" fillId="49" borderId="11" xfId="114" applyNumberFormat="1" applyFont="1" applyFill="1" applyBorder="1" applyAlignment="1">
      <alignment vertical="center"/>
    </xf>
    <xf numFmtId="2" fontId="42" fillId="0" borderId="11" xfId="114" applyNumberFormat="1" applyFont="1" applyBorder="1" applyAlignment="1">
      <alignment vertical="center"/>
    </xf>
    <xf numFmtId="2" fontId="31" fillId="0" borderId="11" xfId="114" applyNumberFormat="1" applyFont="1" applyBorder="1"/>
    <xf numFmtId="2" fontId="31" fillId="0" borderId="11" xfId="114" applyNumberFormat="1" applyFont="1" applyBorder="1" applyAlignment="1">
      <alignment horizontal="center" vertical="center"/>
    </xf>
    <xf numFmtId="0" fontId="42" fillId="0" borderId="11" xfId="114" applyFont="1" applyBorder="1" applyAlignment="1">
      <alignment horizontal="center" vertical="center"/>
    </xf>
    <xf numFmtId="0" fontId="36" fillId="0" borderId="11" xfId="114" applyFont="1" applyBorder="1" applyAlignment="1">
      <alignment vertical="center"/>
    </xf>
    <xf numFmtId="0" fontId="36" fillId="0" borderId="11" xfId="114" applyFont="1" applyBorder="1" applyAlignment="1">
      <alignment horizontal="centerContinuous" vertical="center" wrapText="1"/>
    </xf>
    <xf numFmtId="0" fontId="36" fillId="49" borderId="11" xfId="114" applyFont="1" applyFill="1" applyBorder="1" applyAlignment="1">
      <alignment horizontal="centerContinuous" vertical="center" wrapText="1"/>
    </xf>
    <xf numFmtId="0" fontId="36" fillId="0" borderId="11" xfId="114" applyFont="1" applyFill="1" applyBorder="1" applyAlignment="1">
      <alignment horizontal="centerContinuous" vertical="center" wrapText="1"/>
    </xf>
    <xf numFmtId="0" fontId="36" fillId="0" borderId="11" xfId="114" applyFont="1" applyFill="1" applyBorder="1" applyAlignment="1">
      <alignment horizontal="center" vertical="center" wrapText="1"/>
    </xf>
    <xf numFmtId="0" fontId="36" fillId="0" borderId="11" xfId="114" applyFont="1" applyBorder="1" applyAlignment="1">
      <alignment horizontal="center" vertical="center"/>
    </xf>
    <xf numFmtId="0" fontId="87" fillId="0" borderId="0" xfId="0" applyFont="1"/>
    <xf numFmtId="166" fontId="87" fillId="0" borderId="0" xfId="0" applyNumberFormat="1" applyFont="1"/>
    <xf numFmtId="166" fontId="88" fillId="0" borderId="0" xfId="0" applyNumberFormat="1" applyFont="1"/>
    <xf numFmtId="0" fontId="88" fillId="0" borderId="0" xfId="0" applyFont="1"/>
    <xf numFmtId="0" fontId="89" fillId="0" borderId="0" xfId="0" applyFont="1"/>
    <xf numFmtId="0" fontId="42" fillId="0" borderId="0" xfId="0" applyFont="1"/>
    <xf numFmtId="0" fontId="46" fillId="0" borderId="11" xfId="117" applyBorder="1"/>
    <xf numFmtId="0" fontId="43" fillId="0" borderId="11" xfId="117" applyFont="1" applyBorder="1"/>
    <xf numFmtId="0" fontId="43" fillId="0" borderId="11" xfId="117" applyFont="1" applyBorder="1" applyAlignment="1">
      <alignment wrapText="1"/>
    </xf>
    <xf numFmtId="0" fontId="46" fillId="0" borderId="0" xfId="117" applyAlignment="1">
      <alignment horizontal="center"/>
    </xf>
    <xf numFmtId="0" fontId="43" fillId="0" borderId="11" xfId="117" applyFont="1" applyBorder="1" applyAlignment="1">
      <alignment horizontal="center"/>
    </xf>
    <xf numFmtId="3" fontId="43" fillId="0" borderId="11" xfId="117" applyNumberFormat="1" applyFont="1" applyBorder="1" applyAlignment="1">
      <alignment horizontal="center"/>
    </xf>
    <xf numFmtId="166" fontId="46" fillId="0" borderId="11" xfId="117" applyNumberFormat="1" applyBorder="1" applyAlignment="1">
      <alignment horizontal="center"/>
    </xf>
    <xf numFmtId="3" fontId="46" fillId="0" borderId="11" xfId="117" applyNumberFormat="1" applyBorder="1" applyAlignment="1">
      <alignment horizontal="center"/>
    </xf>
    <xf numFmtId="3" fontId="90" fillId="0" borderId="11" xfId="117" applyNumberFormat="1" applyFont="1" applyBorder="1" applyAlignment="1">
      <alignment horizontal="center"/>
    </xf>
    <xf numFmtId="166" fontId="31" fillId="0" borderId="0" xfId="0" applyNumberFormat="1" applyFont="1"/>
    <xf numFmtId="171" fontId="31" fillId="0" borderId="0" xfId="0" applyNumberFormat="1" applyFont="1"/>
    <xf numFmtId="171" fontId="42" fillId="0" borderId="0" xfId="0" applyNumberFormat="1" applyFont="1"/>
    <xf numFmtId="0" fontId="70" fillId="0" borderId="0" xfId="0" applyFont="1"/>
    <xf numFmtId="0" fontId="71" fillId="0" borderId="0" xfId="0" applyFont="1"/>
    <xf numFmtId="0" fontId="31" fillId="0" borderId="0" xfId="1" applyFont="1" applyAlignment="1">
      <alignment wrapText="1"/>
    </xf>
    <xf numFmtId="166" fontId="31" fillId="0" borderId="0" xfId="1" applyNumberFormat="1" applyFont="1"/>
    <xf numFmtId="0" fontId="34" fillId="0" borderId="0" xfId="112" applyFont="1"/>
    <xf numFmtId="0" fontId="91" fillId="0" borderId="0" xfId="112" applyFont="1"/>
    <xf numFmtId="0" fontId="54" fillId="0" borderId="11" xfId="112" applyFont="1" applyBorder="1" applyAlignment="1">
      <alignment horizontal="left" vertical="justify" wrapText="1"/>
    </xf>
    <xf numFmtId="0" fontId="54" fillId="0" borderId="0" xfId="112" applyFont="1"/>
    <xf numFmtId="0" fontId="54" fillId="0" borderId="11" xfId="112" applyFont="1" applyBorder="1" applyAlignment="1">
      <alignment horizontal="center" vertical="center"/>
    </xf>
    <xf numFmtId="0" fontId="54" fillId="0" borderId="11" xfId="112" applyFont="1" applyBorder="1" applyAlignment="1">
      <alignment horizontal="center" vertical="center" wrapText="1"/>
    </xf>
    <xf numFmtId="0" fontId="54" fillId="0" borderId="11" xfId="112" applyFont="1" applyBorder="1" applyAlignment="1">
      <alignment horizontal="center"/>
    </xf>
    <xf numFmtId="0" fontId="31" fillId="0" borderId="0" xfId="118" applyFont="1" applyAlignment="1">
      <alignment horizontal="center"/>
    </xf>
    <xf numFmtId="0" fontId="54" fillId="0" borderId="0" xfId="115" applyFont="1" applyAlignment="1">
      <alignment horizontal="center"/>
    </xf>
    <xf numFmtId="168" fontId="54" fillId="0" borderId="11" xfId="112" applyNumberFormat="1" applyFont="1" applyBorder="1" applyAlignment="1">
      <alignment horizontal="center"/>
    </xf>
    <xf numFmtId="166" fontId="54" fillId="0" borderId="11" xfId="112" applyNumberFormat="1" applyFont="1" applyBorder="1" applyAlignment="1">
      <alignment horizontal="center" wrapText="1"/>
    </xf>
    <xf numFmtId="0" fontId="54" fillId="0" borderId="0" xfId="112" applyFont="1" applyAlignment="1">
      <alignment horizontal="center"/>
    </xf>
    <xf numFmtId="1" fontId="48" fillId="0" borderId="11" xfId="1" applyNumberFormat="1" applyFont="1" applyBorder="1"/>
    <xf numFmtId="0" fontId="31" fillId="0" borderId="20" xfId="1" applyFont="1" applyBorder="1" applyAlignment="1">
      <alignment horizontal="center" vertical="center"/>
    </xf>
    <xf numFmtId="0" fontId="31" fillId="0" borderId="20" xfId="1" applyFont="1" applyBorder="1"/>
    <xf numFmtId="0" fontId="48" fillId="0" borderId="20" xfId="1" applyFont="1" applyBorder="1"/>
    <xf numFmtId="166" fontId="48" fillId="0" borderId="20" xfId="1" applyNumberFormat="1" applyFont="1" applyBorder="1" applyAlignment="1">
      <alignment vertical="center"/>
    </xf>
    <xf numFmtId="0" fontId="31" fillId="0" borderId="38" xfId="1" applyFont="1" applyBorder="1" applyAlignment="1">
      <alignment horizontal="center" vertical="center"/>
    </xf>
    <xf numFmtId="0" fontId="31" fillId="0" borderId="38" xfId="1" applyFont="1" applyBorder="1" applyAlignment="1">
      <alignment horizontal="center" vertical="center" wrapText="1"/>
    </xf>
    <xf numFmtId="0" fontId="47" fillId="46" borderId="38" xfId="1" applyNumberFormat="1" applyFont="1" applyFill="1" applyBorder="1" applyAlignment="1">
      <alignment horizontal="right" vertical="top"/>
    </xf>
    <xf numFmtId="0" fontId="31" fillId="0" borderId="38" xfId="1" applyFont="1" applyBorder="1"/>
    <xf numFmtId="0" fontId="86" fillId="46" borderId="38" xfId="1" applyNumberFormat="1" applyFont="1" applyFill="1" applyBorder="1" applyAlignment="1">
      <alignment horizontal="right" vertical="top"/>
    </xf>
    <xf numFmtId="0" fontId="31" fillId="0" borderId="38" xfId="1" applyFont="1" applyBorder="1" applyAlignment="1">
      <alignment horizontal="center"/>
    </xf>
    <xf numFmtId="0" fontId="48" fillId="0" borderId="38" xfId="1" applyFont="1" applyBorder="1"/>
    <xf numFmtId="0" fontId="48" fillId="0" borderId="38" xfId="1" applyFont="1" applyBorder="1" applyAlignment="1">
      <alignment vertical="center" wrapText="1"/>
    </xf>
    <xf numFmtId="167" fontId="49" fillId="46" borderId="38" xfId="1" applyNumberFormat="1" applyFont="1" applyFill="1" applyBorder="1" applyAlignment="1">
      <alignment horizontal="right" vertical="center"/>
    </xf>
    <xf numFmtId="167" fontId="48" fillId="0" borderId="38" xfId="1" applyNumberFormat="1" applyFont="1" applyBorder="1" applyAlignment="1">
      <alignment vertical="center"/>
    </xf>
    <xf numFmtId="0" fontId="48" fillId="0" borderId="38" xfId="1" applyFont="1" applyBorder="1" applyAlignment="1">
      <alignment vertical="center"/>
    </xf>
    <xf numFmtId="0" fontId="0" fillId="0" borderId="0" xfId="0" applyAlignment="1">
      <alignment vertical="center"/>
    </xf>
    <xf numFmtId="0" fontId="46" fillId="0" borderId="0" xfId="121" applyFont="1" applyFill="1" applyAlignment="1">
      <alignment horizontal="center"/>
    </xf>
    <xf numFmtId="0" fontId="34" fillId="0" borderId="0" xfId="0" applyFont="1" applyFill="1" applyBorder="1" applyAlignment="1"/>
    <xf numFmtId="0" fontId="36" fillId="0" borderId="0" xfId="115" applyFont="1" applyFill="1"/>
    <xf numFmtId="0" fontId="42" fillId="0" borderId="0" xfId="115" applyFont="1" applyFill="1" applyBorder="1" applyAlignment="1">
      <alignment horizontal="center"/>
    </xf>
    <xf numFmtId="0" fontId="64" fillId="0" borderId="0" xfId="115" applyFont="1" applyFill="1" applyAlignment="1">
      <alignment horizontal="left"/>
    </xf>
    <xf numFmtId="0" fontId="64" fillId="0" borderId="0" xfId="115" applyFont="1" applyFill="1" applyBorder="1" applyAlignment="1">
      <alignment horizontal="left"/>
    </xf>
    <xf numFmtId="0" fontId="42" fillId="0" borderId="0" xfId="115" applyFont="1" applyFill="1"/>
    <xf numFmtId="0" fontId="31" fillId="0" borderId="0" xfId="115" applyFont="1" applyFill="1"/>
    <xf numFmtId="0" fontId="31" fillId="46" borderId="21" xfId="115" applyFont="1" applyFill="1" applyBorder="1" applyAlignment="1">
      <alignment horizontal="left" vertical="center"/>
    </xf>
    <xf numFmtId="0" fontId="31" fillId="0" borderId="18" xfId="122" applyFont="1" applyFill="1" applyBorder="1" applyAlignment="1">
      <alignment horizontal="left" vertical="center"/>
    </xf>
    <xf numFmtId="165" fontId="31" fillId="0" borderId="22" xfId="115" applyNumberFormat="1" applyFont="1" applyFill="1" applyBorder="1" applyAlignment="1">
      <alignment horizontal="right" vertical="center"/>
    </xf>
    <xf numFmtId="0" fontId="31" fillId="46" borderId="30" xfId="115" applyFont="1" applyFill="1" applyBorder="1" applyAlignment="1">
      <alignment horizontal="left" vertical="center"/>
    </xf>
    <xf numFmtId="0" fontId="31" fillId="0" borderId="0" xfId="122" applyFont="1" applyFill="1" applyBorder="1" applyAlignment="1">
      <alignment horizontal="left" vertical="center"/>
    </xf>
    <xf numFmtId="165" fontId="31" fillId="0" borderId="31" xfId="115" applyNumberFormat="1" applyFont="1" applyFill="1" applyBorder="1" applyAlignment="1">
      <alignment horizontal="right" vertical="center"/>
    </xf>
    <xf numFmtId="3" fontId="31" fillId="0" borderId="31" xfId="115" applyNumberFormat="1" applyFont="1" applyFill="1" applyBorder="1" applyAlignment="1">
      <alignment horizontal="right" vertical="center"/>
    </xf>
    <xf numFmtId="0" fontId="31" fillId="46" borderId="24" xfId="115" applyFont="1" applyFill="1" applyBorder="1" applyAlignment="1">
      <alignment horizontal="left" vertical="center"/>
    </xf>
    <xf numFmtId="0" fontId="42" fillId="0" borderId="14" xfId="122" applyFont="1" applyFill="1" applyBorder="1" applyAlignment="1">
      <alignment horizontal="left" vertical="center"/>
    </xf>
    <xf numFmtId="3" fontId="31" fillId="0" borderId="25" xfId="115" applyNumberFormat="1" applyFont="1" applyFill="1" applyBorder="1" applyAlignment="1">
      <alignment horizontal="right" vertical="center"/>
    </xf>
    <xf numFmtId="0" fontId="42" fillId="0" borderId="30" xfId="122" applyFont="1" applyFill="1" applyBorder="1" applyAlignment="1">
      <alignment vertical="center" wrapText="1"/>
    </xf>
    <xf numFmtId="0" fontId="42" fillId="0" borderId="0" xfId="122" applyFont="1" applyFill="1" applyBorder="1" applyAlignment="1">
      <alignment vertical="center" wrapText="1"/>
    </xf>
    <xf numFmtId="3" fontId="42" fillId="0" borderId="25" xfId="115" applyNumberFormat="1" applyFont="1" applyFill="1" applyBorder="1" applyAlignment="1">
      <alignment horizontal="right" vertical="center"/>
    </xf>
    <xf numFmtId="0" fontId="64" fillId="0" borderId="18" xfId="122" applyFont="1" applyFill="1" applyBorder="1" applyAlignment="1">
      <alignment horizontal="left" vertical="center"/>
    </xf>
    <xf numFmtId="3" fontId="31" fillId="0" borderId="22" xfId="115" applyNumberFormat="1" applyFont="1" applyFill="1" applyBorder="1" applyAlignment="1">
      <alignment horizontal="right" vertical="center"/>
    </xf>
    <xf numFmtId="0" fontId="64" fillId="0" borderId="0" xfId="122" applyFont="1" applyFill="1" applyBorder="1" applyAlignment="1">
      <alignment horizontal="left" vertical="center"/>
    </xf>
    <xf numFmtId="0" fontId="65" fillId="0" borderId="14" xfId="122" applyFont="1" applyFill="1" applyBorder="1" applyAlignment="1">
      <alignment horizontal="left" vertical="center"/>
    </xf>
    <xf numFmtId="0" fontId="42" fillId="0" borderId="24" xfId="122" applyFont="1" applyFill="1" applyBorder="1" applyAlignment="1">
      <alignment vertical="center" wrapText="1"/>
    </xf>
    <xf numFmtId="0" fontId="42" fillId="0" borderId="14" xfId="122" applyFont="1" applyFill="1" applyBorder="1" applyAlignment="1">
      <alignment vertical="center" wrapText="1"/>
    </xf>
    <xf numFmtId="0" fontId="31" fillId="46" borderId="32" xfId="115" applyFont="1" applyFill="1" applyBorder="1" applyAlignment="1">
      <alignment horizontal="left" vertical="center"/>
    </xf>
    <xf numFmtId="0" fontId="31" fillId="0" borderId="18" xfId="122" applyFont="1" applyFill="1" applyBorder="1" applyAlignment="1">
      <alignment horizontal="left" vertical="center" wrapText="1"/>
    </xf>
    <xf numFmtId="0" fontId="31" fillId="0" borderId="22" xfId="115" applyFont="1" applyFill="1" applyBorder="1"/>
    <xf numFmtId="0" fontId="31" fillId="46" borderId="33" xfId="115" applyFont="1" applyFill="1" applyBorder="1" applyAlignment="1">
      <alignment horizontal="left" vertical="center"/>
    </xf>
    <xf numFmtId="0" fontId="31" fillId="0" borderId="0" xfId="122" applyFont="1" applyFill="1" applyBorder="1" applyAlignment="1">
      <alignment horizontal="left" vertical="center" wrapText="1"/>
    </xf>
    <xf numFmtId="0" fontId="31" fillId="0" borderId="31" xfId="115" applyFont="1" applyFill="1" applyBorder="1"/>
    <xf numFmtId="0" fontId="65" fillId="0" borderId="0" xfId="122" applyFont="1" applyFill="1" applyBorder="1" applyAlignment="1">
      <alignment horizontal="left" vertical="center"/>
    </xf>
    <xf numFmtId="0" fontId="42" fillId="0" borderId="19" xfId="122" applyFont="1" applyFill="1" applyBorder="1" applyAlignment="1">
      <alignment vertical="center" wrapText="1"/>
    </xf>
    <xf numFmtId="2" fontId="64" fillId="0" borderId="15" xfId="115" applyNumberFormat="1" applyFont="1" applyFill="1" applyBorder="1" applyAlignment="1">
      <alignment horizontal="left" vertical="center"/>
    </xf>
    <xf numFmtId="3" fontId="42" fillId="0" borderId="20" xfId="115" applyNumberFormat="1" applyFont="1" applyFill="1" applyBorder="1" applyAlignment="1">
      <alignment horizontal="right" vertical="center"/>
    </xf>
    <xf numFmtId="172" fontId="64" fillId="0" borderId="0" xfId="122" applyNumberFormat="1" applyFont="1" applyFill="1" applyBorder="1" applyAlignment="1">
      <alignment horizontal="left" vertical="center"/>
    </xf>
    <xf numFmtId="2" fontId="31" fillId="0" borderId="22" xfId="115" applyNumberFormat="1" applyFont="1" applyFill="1" applyBorder="1"/>
    <xf numFmtId="0" fontId="31" fillId="0" borderId="0" xfId="115" applyFont="1" applyFill="1" applyBorder="1"/>
    <xf numFmtId="2" fontId="31" fillId="0" borderId="31" xfId="115" applyNumberFormat="1" applyFont="1" applyFill="1" applyBorder="1"/>
    <xf numFmtId="172" fontId="64" fillId="0" borderId="14" xfId="122" applyNumberFormat="1" applyFont="1" applyFill="1" applyBorder="1" applyAlignment="1">
      <alignment horizontal="left" vertical="center"/>
    </xf>
    <xf numFmtId="2" fontId="31" fillId="0" borderId="25" xfId="115" applyNumberFormat="1" applyFont="1" applyFill="1" applyBorder="1"/>
    <xf numFmtId="2" fontId="42" fillId="0" borderId="31" xfId="115" applyNumberFormat="1" applyFont="1" applyFill="1" applyBorder="1"/>
    <xf numFmtId="172" fontId="64" fillId="0" borderId="18" xfId="122" applyNumberFormat="1" applyFont="1" applyFill="1" applyBorder="1" applyAlignment="1">
      <alignment horizontal="left" vertical="center"/>
    </xf>
    <xf numFmtId="166" fontId="31" fillId="0" borderId="22" xfId="115" applyNumberFormat="1" applyFont="1" applyFill="1" applyBorder="1"/>
    <xf numFmtId="166" fontId="31" fillId="0" borderId="31" xfId="115" applyNumberFormat="1" applyFont="1" applyFill="1" applyBorder="1"/>
    <xf numFmtId="166" fontId="31" fillId="0" borderId="25" xfId="115" applyNumberFormat="1" applyFont="1" applyFill="1" applyBorder="1"/>
    <xf numFmtId="166" fontId="42" fillId="0" borderId="31" xfId="115" applyNumberFormat="1" applyFont="1" applyFill="1" applyBorder="1"/>
    <xf numFmtId="166" fontId="42" fillId="0" borderId="20" xfId="115" applyNumberFormat="1" applyFont="1" applyFill="1" applyBorder="1"/>
    <xf numFmtId="0" fontId="42" fillId="0" borderId="0" xfId="115" applyFont="1" applyFill="1" applyBorder="1"/>
    <xf numFmtId="0" fontId="94" fillId="0" borderId="0" xfId="1" applyFont="1" applyAlignment="1">
      <alignment horizontal="left" vertical="center"/>
    </xf>
    <xf numFmtId="0" fontId="95" fillId="0" borderId="0" xfId="1" applyFont="1" applyAlignment="1">
      <alignment horizontal="left" vertical="center"/>
    </xf>
    <xf numFmtId="0" fontId="77" fillId="0" borderId="0" xfId="1" applyFont="1" applyAlignment="1">
      <alignment horizontal="left" vertical="center"/>
    </xf>
    <xf numFmtId="0" fontId="96" fillId="0" borderId="0" xfId="1" applyFont="1" applyAlignment="1">
      <alignment horizontal="left" vertical="center"/>
    </xf>
    <xf numFmtId="0" fontId="61" fillId="0" borderId="30" xfId="1" applyFont="1" applyBorder="1" applyAlignment="1">
      <alignment horizontal="left" vertical="center"/>
    </xf>
    <xf numFmtId="0" fontId="50" fillId="0" borderId="21" xfId="1" applyFont="1" applyBorder="1" applyAlignment="1">
      <alignment horizontal="left" vertical="center"/>
    </xf>
    <xf numFmtId="0" fontId="77" fillId="0" borderId="18" xfId="1" applyFont="1" applyBorder="1" applyAlignment="1">
      <alignment horizontal="left" vertical="center"/>
    </xf>
    <xf numFmtId="0" fontId="77" fillId="0" borderId="22" xfId="1" applyFont="1" applyBorder="1" applyAlignment="1">
      <alignment horizontal="left" vertical="center"/>
    </xf>
    <xf numFmtId="0" fontId="50" fillId="0" borderId="24" xfId="1" applyFont="1" applyBorder="1" applyAlignment="1">
      <alignment horizontal="left" vertical="center"/>
    </xf>
    <xf numFmtId="0" fontId="77" fillId="0" borderId="14" xfId="1" applyFont="1" applyBorder="1" applyAlignment="1">
      <alignment horizontal="left" vertical="center"/>
    </xf>
    <xf numFmtId="0" fontId="77" fillId="0" borderId="25" xfId="1" applyFont="1" applyBorder="1" applyAlignment="1">
      <alignment horizontal="left" vertical="center"/>
    </xf>
    <xf numFmtId="0" fontId="77" fillId="0" borderId="31" xfId="1" applyFont="1" applyBorder="1" applyAlignment="1">
      <alignment horizontal="left" vertical="center"/>
    </xf>
    <xf numFmtId="0" fontId="19" fillId="0" borderId="0" xfId="1" applyFont="1" applyFill="1" applyAlignment="1">
      <alignment vertical="center"/>
    </xf>
    <xf numFmtId="0" fontId="31" fillId="0" borderId="0" xfId="1" applyFont="1" applyFill="1" applyAlignment="1">
      <alignment vertical="center"/>
    </xf>
    <xf numFmtId="0" fontId="50" fillId="0" borderId="0" xfId="1" applyFont="1" applyAlignment="1">
      <alignment vertical="center"/>
    </xf>
    <xf numFmtId="0" fontId="77" fillId="0" borderId="0" xfId="1" applyFont="1" applyAlignment="1">
      <alignment vertical="center"/>
    </xf>
    <xf numFmtId="0" fontId="56" fillId="0" borderId="0" xfId="116" applyFont="1" applyFill="1" applyBorder="1" applyAlignment="1">
      <alignment horizontal="left"/>
    </xf>
    <xf numFmtId="0" fontId="61" fillId="0" borderId="30" xfId="1" applyFont="1" applyFill="1" applyBorder="1" applyAlignment="1">
      <alignment horizontal="left" vertical="center"/>
    </xf>
    <xf numFmtId="0" fontId="77" fillId="0" borderId="0" xfId="1" applyFont="1" applyFill="1" applyBorder="1" applyAlignment="1">
      <alignment horizontal="left" vertical="center"/>
    </xf>
    <xf numFmtId="0" fontId="97" fillId="0" borderId="0" xfId="116" applyFont="1"/>
    <xf numFmtId="0" fontId="54" fillId="0" borderId="0" xfId="118" applyFont="1"/>
    <xf numFmtId="0" fontId="54" fillId="0" borderId="11" xfId="112" applyFont="1" applyBorder="1"/>
    <xf numFmtId="0" fontId="54" fillId="0" borderId="11" xfId="112" applyFont="1" applyBorder="1" applyAlignment="1">
      <alignment vertical="center"/>
    </xf>
    <xf numFmtId="0" fontId="54" fillId="0" borderId="11" xfId="112" applyFont="1" applyBorder="1" applyAlignment="1">
      <alignment vertical="center" wrapText="1"/>
    </xf>
    <xf numFmtId="0" fontId="34" fillId="0" borderId="11" xfId="112" applyFont="1" applyBorder="1"/>
    <xf numFmtId="0" fontId="34" fillId="0" borderId="11" xfId="112" applyFont="1" applyBorder="1" applyAlignment="1">
      <alignment vertical="center"/>
    </xf>
    <xf numFmtId="165" fontId="73" fillId="0" borderId="11" xfId="115" applyNumberFormat="1" applyFont="1" applyBorder="1" applyAlignment="1">
      <alignment horizontal="right" vertical="center" wrapText="1"/>
    </xf>
    <xf numFmtId="0" fontId="54" fillId="0" borderId="0" xfId="119" applyNumberFormat="1" applyFont="1" applyFill="1" applyBorder="1" applyAlignment="1">
      <alignment horizontal="center" vertical="center" wrapText="1"/>
    </xf>
    <xf numFmtId="0" fontId="31" fillId="0" borderId="0" xfId="119" applyFont="1"/>
    <xf numFmtId="0" fontId="37" fillId="0" borderId="16" xfId="119" applyFont="1" applyFill="1" applyBorder="1" applyAlignment="1">
      <alignment horizontal="center" vertical="center" textRotation="90"/>
    </xf>
    <xf numFmtId="0" fontId="54" fillId="0" borderId="0" xfId="119" applyFont="1" applyFill="1" applyBorder="1" applyAlignment="1">
      <alignment horizontal="center" vertical="center" wrapText="1"/>
    </xf>
    <xf numFmtId="0" fontId="37" fillId="0" borderId="0" xfId="119" applyFont="1" applyFill="1" applyBorder="1" applyAlignment="1">
      <alignment horizontal="center" vertical="center" wrapText="1"/>
    </xf>
    <xf numFmtId="0" fontId="50" fillId="0" borderId="0" xfId="0" applyFont="1" applyBorder="1"/>
    <xf numFmtId="0" fontId="31" fillId="0" borderId="0" xfId="115" applyFont="1" applyAlignment="1">
      <alignment horizontal="center"/>
    </xf>
    <xf numFmtId="3" fontId="1" fillId="0" borderId="0" xfId="1" applyNumberFormat="1" applyAlignment="1">
      <alignment horizontal="centerContinuous"/>
    </xf>
    <xf numFmtId="0" fontId="1" fillId="0" borderId="0" xfId="1" applyFont="1"/>
    <xf numFmtId="166" fontId="1" fillId="0" borderId="0" xfId="1" applyNumberFormat="1"/>
    <xf numFmtId="169" fontId="1" fillId="0" borderId="0" xfId="1" applyNumberFormat="1"/>
    <xf numFmtId="166" fontId="54" fillId="0" borderId="11" xfId="112" applyNumberFormat="1" applyFont="1" applyBorder="1" applyAlignment="1">
      <alignment horizontal="center"/>
    </xf>
    <xf numFmtId="166" fontId="54" fillId="0" borderId="11" xfId="112" applyNumberFormat="1" applyFont="1" applyBorder="1" applyAlignment="1">
      <alignment horizontal="center" vertical="center"/>
    </xf>
    <xf numFmtId="0" fontId="34" fillId="0" borderId="0" xfId="112" applyFont="1" applyAlignment="1">
      <alignment horizontal="center"/>
    </xf>
    <xf numFmtId="0" fontId="37" fillId="0" borderId="17" xfId="119" applyFont="1" applyFill="1" applyBorder="1" applyAlignment="1">
      <alignment horizontal="center" vertical="center" textRotation="90"/>
    </xf>
    <xf numFmtId="0" fontId="37" fillId="0" borderId="17" xfId="119" applyFont="1" applyFill="1" applyBorder="1" applyAlignment="1">
      <alignment horizontal="center" vertical="center" textRotation="90" wrapText="1"/>
    </xf>
    <xf numFmtId="0" fontId="36" fillId="0" borderId="11" xfId="119" applyFont="1" applyFill="1" applyBorder="1" applyAlignment="1">
      <alignment horizontal="center" vertical="center"/>
    </xf>
    <xf numFmtId="3" fontId="36" fillId="0" borderId="11" xfId="119" applyNumberFormat="1" applyFont="1" applyFill="1" applyBorder="1" applyAlignment="1">
      <alignment horizontal="right" vertical="center"/>
    </xf>
    <xf numFmtId="165" fontId="36" fillId="0" borderId="11" xfId="119" applyNumberFormat="1" applyFont="1" applyFill="1" applyBorder="1" applyAlignment="1">
      <alignment horizontal="right" vertical="center"/>
    </xf>
    <xf numFmtId="3" fontId="36" fillId="0" borderId="0" xfId="119" applyNumberFormat="1" applyFont="1" applyFill="1" applyBorder="1" applyAlignment="1">
      <alignment horizontal="right" vertical="center"/>
    </xf>
    <xf numFmtId="2" fontId="36" fillId="0" borderId="0" xfId="119" applyNumberFormat="1" applyFont="1" applyFill="1" applyBorder="1" applyAlignment="1">
      <alignment horizontal="right" vertical="center"/>
    </xf>
    <xf numFmtId="0" fontId="31" fillId="0" borderId="14" xfId="0" applyFont="1" applyBorder="1" applyAlignment="1">
      <alignment horizontal="centerContinuous" vertical="center"/>
    </xf>
    <xf numFmtId="0" fontId="31" fillId="0" borderId="24" xfId="0" applyFont="1" applyBorder="1" applyAlignment="1">
      <alignment horizontal="centerContinuous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Continuous" vertical="center" wrapText="1"/>
    </xf>
    <xf numFmtId="3" fontId="31" fillId="0" borderId="11" xfId="0" applyNumberFormat="1" applyFont="1" applyFill="1" applyBorder="1" applyAlignment="1">
      <alignment horizontal="center" vertical="center" wrapText="1"/>
    </xf>
    <xf numFmtId="0" fontId="42" fillId="0" borderId="0" xfId="0" applyFont="1" applyFill="1"/>
    <xf numFmtId="0" fontId="31" fillId="0" borderId="0" xfId="0" applyFont="1" applyFill="1"/>
    <xf numFmtId="0" fontId="64" fillId="0" borderId="0" xfId="0" applyFont="1" applyFill="1" applyAlignment="1">
      <alignment horizontal="left"/>
    </xf>
    <xf numFmtId="0" fontId="64" fillId="0" borderId="0" xfId="0" applyFont="1" applyFill="1" applyBorder="1" applyAlignment="1">
      <alignment horizontal="left"/>
    </xf>
    <xf numFmtId="0" fontId="31" fillId="0" borderId="0" xfId="0" applyFont="1" applyFill="1" applyBorder="1" applyAlignment="1">
      <alignment horizontal="left"/>
    </xf>
    <xf numFmtId="0" fontId="31" fillId="0" borderId="0" xfId="0" applyFont="1" applyFill="1" applyAlignment="1">
      <alignment horizontal="left"/>
    </xf>
    <xf numFmtId="0" fontId="42" fillId="0" borderId="0" xfId="0" applyFont="1" applyFill="1" applyBorder="1" applyAlignment="1">
      <alignment horizontal="center"/>
    </xf>
    <xf numFmtId="0" fontId="36" fillId="0" borderId="0" xfId="0" applyFont="1" applyFill="1"/>
    <xf numFmtId="3" fontId="31" fillId="0" borderId="0" xfId="0" applyNumberFormat="1" applyFont="1" applyFill="1" applyBorder="1" applyAlignment="1">
      <alignment horizontal="right" vertical="center"/>
    </xf>
    <xf numFmtId="3" fontId="31" fillId="0" borderId="31" xfId="0" applyNumberFormat="1" applyFont="1" applyFill="1" applyBorder="1" applyAlignment="1">
      <alignment horizontal="right" vertical="center"/>
    </xf>
    <xf numFmtId="3" fontId="42" fillId="48" borderId="15" xfId="0" applyNumberFormat="1" applyFont="1" applyFill="1" applyBorder="1" applyAlignment="1">
      <alignment horizontal="right" vertical="center"/>
    </xf>
    <xf numFmtId="3" fontId="42" fillId="48" borderId="20" xfId="0" applyNumberFormat="1" applyFont="1" applyFill="1" applyBorder="1" applyAlignment="1">
      <alignment horizontal="right" vertical="center"/>
    </xf>
    <xf numFmtId="0" fontId="31" fillId="0" borderId="18" xfId="0" applyFont="1" applyFill="1" applyBorder="1" applyAlignment="1">
      <alignment horizontal="right" vertical="center"/>
    </xf>
    <xf numFmtId="3" fontId="31" fillId="0" borderId="18" xfId="0" applyNumberFormat="1" applyFont="1" applyFill="1" applyBorder="1" applyAlignment="1">
      <alignment horizontal="right" vertical="center"/>
    </xf>
    <xf numFmtId="3" fontId="31" fillId="0" borderId="22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horizontal="right" vertical="center"/>
    </xf>
    <xf numFmtId="0" fontId="42" fillId="48" borderId="15" xfId="0" applyFont="1" applyFill="1" applyBorder="1" applyAlignment="1">
      <alignment horizontal="right" vertical="center"/>
    </xf>
    <xf numFmtId="0" fontId="42" fillId="48" borderId="15" xfId="122" applyFont="1" applyFill="1" applyBorder="1" applyAlignment="1">
      <alignment horizontal="right" vertical="center" wrapText="1"/>
    </xf>
    <xf numFmtId="3" fontId="42" fillId="48" borderId="15" xfId="122" applyNumberFormat="1" applyFont="1" applyFill="1" applyBorder="1" applyAlignment="1">
      <alignment horizontal="right" vertical="center" wrapText="1"/>
    </xf>
    <xf numFmtId="2" fontId="42" fillId="0" borderId="18" xfId="0" applyNumberFormat="1" applyFont="1" applyFill="1" applyBorder="1" applyAlignment="1">
      <alignment horizontal="right" vertical="center"/>
    </xf>
    <xf numFmtId="166" fontId="42" fillId="0" borderId="18" xfId="0" applyNumberFormat="1" applyFont="1" applyFill="1" applyBorder="1" applyAlignment="1">
      <alignment horizontal="right" vertical="center"/>
    </xf>
    <xf numFmtId="0" fontId="42" fillId="0" borderId="18" xfId="0" applyFont="1" applyFill="1" applyBorder="1"/>
    <xf numFmtId="0" fontId="42" fillId="0" borderId="22" xfId="0" applyFont="1" applyFill="1" applyBorder="1" applyAlignment="1">
      <alignment vertical="center"/>
    </xf>
    <xf numFmtId="2" fontId="42" fillId="0" borderId="0" xfId="0" applyNumberFormat="1" applyFont="1" applyFill="1" applyBorder="1" applyAlignment="1">
      <alignment horizontal="right" vertical="center"/>
    </xf>
    <xf numFmtId="166" fontId="42" fillId="0" borderId="0" xfId="0" applyNumberFormat="1" applyFont="1" applyFill="1" applyBorder="1" applyAlignment="1">
      <alignment horizontal="right" vertical="center"/>
    </xf>
    <xf numFmtId="166" fontId="77" fillId="0" borderId="0" xfId="0" applyNumberFormat="1" applyFont="1" applyFill="1" applyBorder="1" applyAlignment="1">
      <alignment vertical="center"/>
    </xf>
    <xf numFmtId="166" fontId="31" fillId="0" borderId="31" xfId="0" applyNumberFormat="1" applyFont="1" applyFill="1" applyBorder="1" applyAlignment="1">
      <alignment horizontal="right" vertical="center"/>
    </xf>
    <xf numFmtId="0" fontId="31" fillId="0" borderId="0" xfId="0" applyFont="1" applyFill="1" applyBorder="1"/>
    <xf numFmtId="166" fontId="77" fillId="0" borderId="0" xfId="0" applyNumberFormat="1" applyFont="1" applyFill="1" applyBorder="1" applyAlignment="1">
      <alignment horizontal="right" vertical="center"/>
    </xf>
    <xf numFmtId="1" fontId="42" fillId="0" borderId="0" xfId="122" applyNumberFormat="1" applyFont="1" applyFill="1" applyBorder="1" applyAlignment="1">
      <alignment horizontal="right" vertical="center"/>
    </xf>
    <xf numFmtId="1" fontId="42" fillId="0" borderId="0" xfId="0" applyNumberFormat="1" applyFont="1" applyFill="1" applyBorder="1" applyAlignment="1">
      <alignment horizontal="right" vertical="center"/>
    </xf>
    <xf numFmtId="3" fontId="77" fillId="0" borderId="0" xfId="0" applyNumberFormat="1" applyFont="1" applyFill="1" applyBorder="1" applyAlignment="1">
      <alignment horizontal="right" vertical="center"/>
    </xf>
    <xf numFmtId="0" fontId="31" fillId="0" borderId="0" xfId="59" applyFont="1" applyFill="1" applyBorder="1" applyAlignment="1">
      <alignment horizontal="left" vertical="center"/>
    </xf>
    <xf numFmtId="0" fontId="64" fillId="0" borderId="0" xfId="122" applyFont="1" applyFill="1" applyBorder="1" applyAlignment="1">
      <alignment horizontal="left" vertical="center" wrapText="1"/>
    </xf>
    <xf numFmtId="166" fontId="98" fillId="0" borderId="0" xfId="0" applyNumberFormat="1" applyFont="1" applyFill="1" applyBorder="1" applyAlignment="1">
      <alignment horizontal="right" vertical="center"/>
    </xf>
    <xf numFmtId="166" fontId="77" fillId="0" borderId="31" xfId="0" applyNumberFormat="1" applyFont="1" applyFill="1" applyBorder="1" applyAlignment="1">
      <alignment horizontal="right" vertical="center"/>
    </xf>
    <xf numFmtId="0" fontId="77" fillId="0" borderId="0" xfId="0" applyFont="1" applyFill="1" applyBorder="1" applyAlignment="1">
      <alignment horizontal="right" vertical="center"/>
    </xf>
    <xf numFmtId="166" fontId="78" fillId="0" borderId="0" xfId="0" applyNumberFormat="1" applyFont="1" applyFill="1" applyBorder="1" applyAlignment="1">
      <alignment horizontal="right" vertical="center"/>
    </xf>
    <xf numFmtId="166" fontId="31" fillId="0" borderId="31" xfId="0" applyNumberFormat="1" applyFont="1" applyFill="1" applyBorder="1" applyAlignment="1">
      <alignment vertical="center"/>
    </xf>
    <xf numFmtId="0" fontId="77" fillId="0" borderId="0" xfId="0" applyFont="1" applyFill="1" applyBorder="1"/>
    <xf numFmtId="0" fontId="31" fillId="0" borderId="14" xfId="0" applyFont="1" applyFill="1" applyBorder="1" applyAlignment="1">
      <alignment horizontal="right" vertical="center"/>
    </xf>
    <xf numFmtId="166" fontId="31" fillId="0" borderId="14" xfId="0" applyNumberFormat="1" applyFont="1" applyFill="1" applyBorder="1" applyAlignment="1">
      <alignment horizontal="right" vertical="center"/>
    </xf>
    <xf numFmtId="166" fontId="42" fillId="0" borderId="14" xfId="0" applyNumberFormat="1" applyFont="1" applyFill="1" applyBorder="1" applyAlignment="1">
      <alignment horizontal="right" vertical="center"/>
    </xf>
    <xf numFmtId="166" fontId="77" fillId="0" borderId="14" xfId="0" applyNumberFormat="1" applyFont="1" applyFill="1" applyBorder="1" applyAlignment="1">
      <alignment horizontal="right" vertical="center"/>
    </xf>
    <xf numFmtId="166" fontId="31" fillId="0" borderId="25" xfId="0" applyNumberFormat="1" applyFont="1" applyFill="1" applyBorder="1" applyAlignment="1">
      <alignment vertical="center"/>
    </xf>
    <xf numFmtId="0" fontId="31" fillId="0" borderId="15" xfId="0" applyFont="1" applyFill="1" applyBorder="1" applyAlignment="1">
      <alignment horizontal="left"/>
    </xf>
    <xf numFmtId="0" fontId="31" fillId="0" borderId="15" xfId="0" applyFont="1" applyFill="1" applyBorder="1"/>
    <xf numFmtId="0" fontId="42" fillId="0" borderId="15" xfId="0" applyFont="1" applyFill="1" applyBorder="1"/>
    <xf numFmtId="0" fontId="31" fillId="0" borderId="15" xfId="0" applyFont="1" applyFill="1" applyBorder="1" applyAlignment="1">
      <alignment horizontal="right" vertical="center"/>
    </xf>
    <xf numFmtId="0" fontId="31" fillId="0" borderId="20" xfId="0" applyFont="1" applyFill="1" applyBorder="1" applyAlignment="1">
      <alignment vertical="center"/>
    </xf>
    <xf numFmtId="0" fontId="31" fillId="0" borderId="20" xfId="0" applyFont="1" applyFill="1" applyBorder="1" applyAlignment="1">
      <alignment horizontal="right" vertical="center"/>
    </xf>
    <xf numFmtId="0" fontId="42" fillId="0" borderId="0" xfId="0" applyFont="1" applyFill="1" applyBorder="1"/>
    <xf numFmtId="0" fontId="31" fillId="0" borderId="30" xfId="0" applyFont="1" applyFill="1" applyBorder="1" applyAlignment="1">
      <alignment horizontal="left"/>
    </xf>
    <xf numFmtId="0" fontId="31" fillId="0" borderId="0" xfId="118" applyFont="1" applyAlignment="1">
      <alignment vertical="center"/>
    </xf>
    <xf numFmtId="0" fontId="64" fillId="0" borderId="15" xfId="0" applyFont="1" applyFill="1" applyBorder="1" applyAlignment="1">
      <alignment vertical="center"/>
    </xf>
    <xf numFmtId="0" fontId="65" fillId="0" borderId="15" xfId="0" applyFont="1" applyFill="1" applyBorder="1" applyAlignment="1">
      <alignment vertical="center"/>
    </xf>
    <xf numFmtId="0" fontId="31" fillId="0" borderId="0" xfId="0" applyFont="1" applyAlignment="1">
      <alignment vertical="center"/>
    </xf>
    <xf numFmtId="0" fontId="31" fillId="0" borderId="0" xfId="115" applyFont="1" applyAlignment="1">
      <alignment vertical="center"/>
    </xf>
    <xf numFmtId="0" fontId="31" fillId="0" borderId="19" xfId="0" applyFont="1" applyBorder="1" applyAlignment="1">
      <alignment vertical="center"/>
    </xf>
    <xf numFmtId="0" fontId="64" fillId="0" borderId="11" xfId="0" applyFont="1" applyBorder="1" applyAlignment="1">
      <alignment vertical="center"/>
    </xf>
    <xf numFmtId="0" fontId="64" fillId="0" borderId="11" xfId="0" applyFont="1" applyBorder="1" applyAlignment="1">
      <alignment horizontal="right" vertical="center"/>
    </xf>
    <xf numFmtId="0" fontId="64" fillId="0" borderId="11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1" xfId="0" applyFont="1" applyBorder="1" applyAlignment="1">
      <alignment vertical="center"/>
    </xf>
    <xf numFmtId="0" fontId="65" fillId="0" borderId="19" xfId="0" applyFont="1" applyFill="1" applyBorder="1" applyAlignment="1">
      <alignment vertical="center"/>
    </xf>
    <xf numFmtId="0" fontId="64" fillId="0" borderId="14" xfId="0" applyFont="1" applyFill="1" applyBorder="1" applyAlignment="1">
      <alignment vertical="center"/>
    </xf>
    <xf numFmtId="0" fontId="64" fillId="0" borderId="18" xfId="0" applyFont="1" applyFill="1" applyBorder="1" applyAlignment="1">
      <alignment vertical="center"/>
    </xf>
    <xf numFmtId="0" fontId="31" fillId="0" borderId="18" xfId="0" applyFont="1" applyBorder="1" applyAlignment="1">
      <alignment vertical="center"/>
    </xf>
    <xf numFmtId="0" fontId="31" fillId="0" borderId="15" xfId="0" applyFont="1" applyBorder="1" applyAlignment="1">
      <alignment vertical="center"/>
    </xf>
    <xf numFmtId="0" fontId="31" fillId="0" borderId="20" xfId="0" applyFont="1" applyBorder="1" applyAlignment="1">
      <alignment vertical="center"/>
    </xf>
    <xf numFmtId="0" fontId="64" fillId="0" borderId="19" xfId="0" applyFont="1" applyBorder="1" applyAlignment="1">
      <alignment horizontal="right" vertical="center"/>
    </xf>
    <xf numFmtId="0" fontId="64" fillId="0" borderId="11" xfId="0" applyFont="1" applyFill="1" applyBorder="1" applyAlignment="1">
      <alignment horizontal="right" vertical="center"/>
    </xf>
    <xf numFmtId="0" fontId="64" fillId="0" borderId="11" xfId="0" applyFont="1" applyFill="1" applyBorder="1" applyAlignment="1">
      <alignment horizontal="center" vertical="center"/>
    </xf>
    <xf numFmtId="0" fontId="64" fillId="0" borderId="19" xfId="0" applyFont="1" applyFill="1" applyBorder="1" applyAlignment="1">
      <alignment horizontal="right" vertical="center"/>
    </xf>
    <xf numFmtId="0" fontId="64" fillId="0" borderId="11" xfId="0" applyFont="1" applyFill="1" applyBorder="1" applyAlignment="1">
      <alignment vertical="center"/>
    </xf>
    <xf numFmtId="166" fontId="64" fillId="0" borderId="11" xfId="0" applyNumberFormat="1" applyFont="1" applyBorder="1" applyAlignment="1">
      <alignment horizontal="right" vertical="center"/>
    </xf>
    <xf numFmtId="166" fontId="64" fillId="0" borderId="11" xfId="0" applyNumberFormat="1" applyFont="1" applyFill="1" applyBorder="1" applyAlignment="1">
      <alignment horizontal="right" vertical="center"/>
    </xf>
    <xf numFmtId="166" fontId="31" fillId="0" borderId="11" xfId="0" applyNumberFormat="1" applyFont="1" applyBorder="1" applyAlignment="1">
      <alignment vertical="center"/>
    </xf>
    <xf numFmtId="166" fontId="31" fillId="0" borderId="19" xfId="0" applyNumberFormat="1" applyFont="1" applyBorder="1" applyAlignment="1">
      <alignment vertical="center"/>
    </xf>
    <xf numFmtId="0" fontId="65" fillId="0" borderId="11" xfId="0" applyFont="1" applyFill="1" applyBorder="1" applyAlignment="1">
      <alignment horizontal="right" vertical="center"/>
    </xf>
    <xf numFmtId="0" fontId="64" fillId="0" borderId="15" xfId="0" applyFont="1" applyFill="1" applyBorder="1" applyAlignment="1">
      <alignment horizontal="right" vertical="center"/>
    </xf>
    <xf numFmtId="2" fontId="64" fillId="0" borderId="11" xfId="0" applyNumberFormat="1" applyFont="1" applyFill="1" applyBorder="1" applyAlignment="1">
      <alignment horizontal="right" vertical="center"/>
    </xf>
    <xf numFmtId="2" fontId="64" fillId="0" borderId="19" xfId="0" applyNumberFormat="1" applyFont="1" applyFill="1" applyBorder="1" applyAlignment="1">
      <alignment horizontal="right" vertical="center"/>
    </xf>
    <xf numFmtId="2" fontId="31" fillId="0" borderId="11" xfId="0" applyNumberFormat="1" applyFont="1" applyBorder="1" applyAlignment="1">
      <alignment vertical="center"/>
    </xf>
    <xf numFmtId="2" fontId="31" fillId="0" borderId="19" xfId="0" applyNumberFormat="1" applyFont="1" applyBorder="1" applyAlignment="1">
      <alignment vertical="center"/>
    </xf>
    <xf numFmtId="171" fontId="64" fillId="0" borderId="11" xfId="0" applyNumberFormat="1" applyFont="1" applyFill="1" applyBorder="1" applyAlignment="1">
      <alignment horizontal="right" vertical="center"/>
    </xf>
    <xf numFmtId="171" fontId="31" fillId="0" borderId="11" xfId="0" applyNumberFormat="1" applyFont="1" applyBorder="1" applyAlignment="1">
      <alignment vertical="center"/>
    </xf>
    <xf numFmtId="2" fontId="64" fillId="0" borderId="11" xfId="0" applyNumberFormat="1" applyFont="1" applyFill="1" applyBorder="1" applyAlignment="1">
      <alignment horizontal="center" vertical="center"/>
    </xf>
    <xf numFmtId="1" fontId="31" fillId="0" borderId="11" xfId="0" applyNumberFormat="1" applyFont="1" applyBorder="1" applyAlignment="1">
      <alignment vertical="center"/>
    </xf>
    <xf numFmtId="166" fontId="64" fillId="0" borderId="11" xfId="0" applyNumberFormat="1" applyFont="1" applyFill="1" applyBorder="1" applyAlignment="1">
      <alignment vertical="center"/>
    </xf>
    <xf numFmtId="166" fontId="64" fillId="0" borderId="0" xfId="0" applyNumberFormat="1" applyFont="1" applyFill="1" applyAlignment="1">
      <alignment horizontal="right" vertical="center"/>
    </xf>
    <xf numFmtId="166" fontId="64" fillId="0" borderId="19" xfId="0" applyNumberFormat="1" applyFont="1" applyFill="1" applyBorder="1" applyAlignment="1">
      <alignment horizontal="right" vertical="center"/>
    </xf>
    <xf numFmtId="166" fontId="64" fillId="0" borderId="11" xfId="0" applyNumberFormat="1" applyFont="1" applyFill="1" applyBorder="1" applyAlignment="1">
      <alignment horizontal="center" vertical="center"/>
    </xf>
    <xf numFmtId="0" fontId="64" fillId="0" borderId="17" xfId="0" applyFont="1" applyFill="1" applyBorder="1" applyAlignment="1">
      <alignment vertical="center"/>
    </xf>
    <xf numFmtId="0" fontId="64" fillId="0" borderId="16" xfId="0" applyFont="1" applyFill="1" applyBorder="1" applyAlignment="1">
      <alignment horizontal="center" vertical="center"/>
    </xf>
    <xf numFmtId="0" fontId="64" fillId="0" borderId="17" xfId="0" applyFont="1" applyFill="1" applyBorder="1" applyAlignment="1">
      <alignment horizontal="center" vertical="center"/>
    </xf>
    <xf numFmtId="166" fontId="64" fillId="0" borderId="17" xfId="0" applyNumberFormat="1" applyFont="1" applyFill="1" applyBorder="1" applyAlignment="1">
      <alignment horizontal="right" vertical="center"/>
    </xf>
    <xf numFmtId="166" fontId="64" fillId="0" borderId="21" xfId="0" applyNumberFormat="1" applyFont="1" applyFill="1" applyBorder="1" applyAlignment="1">
      <alignment horizontal="right" vertical="center"/>
    </xf>
    <xf numFmtId="166" fontId="64" fillId="0" borderId="34" xfId="0" applyNumberFormat="1" applyFont="1" applyFill="1" applyBorder="1" applyAlignment="1">
      <alignment horizontal="right" vertical="center"/>
    </xf>
    <xf numFmtId="0" fontId="31" fillId="0" borderId="34" xfId="0" applyFont="1" applyBorder="1" applyAlignment="1">
      <alignment vertical="center"/>
    </xf>
    <xf numFmtId="166" fontId="31" fillId="0" borderId="34" xfId="0" applyNumberFormat="1" applyFont="1" applyBorder="1" applyAlignment="1">
      <alignment vertical="center"/>
    </xf>
    <xf numFmtId="166" fontId="31" fillId="0" borderId="35" xfId="0" applyNumberFormat="1" applyFont="1" applyBorder="1" applyAlignment="1">
      <alignment vertical="center"/>
    </xf>
    <xf numFmtId="166" fontId="31" fillId="0" borderId="17" xfId="0" applyNumberFormat="1" applyFont="1" applyBorder="1" applyAlignment="1">
      <alignment vertical="center"/>
    </xf>
    <xf numFmtId="0" fontId="64" fillId="0" borderId="36" xfId="0" applyFont="1" applyFill="1" applyBorder="1" applyAlignment="1">
      <alignment vertical="center"/>
    </xf>
    <xf numFmtId="166" fontId="65" fillId="0" borderId="37" xfId="0" applyNumberFormat="1" applyFont="1" applyFill="1" applyBorder="1" applyAlignment="1">
      <alignment horizontal="right" vertical="center"/>
    </xf>
    <xf numFmtId="166" fontId="65" fillId="0" borderId="26" xfId="0" applyNumberFormat="1" applyFont="1" applyFill="1" applyBorder="1" applyAlignment="1">
      <alignment horizontal="right" vertical="center"/>
    </xf>
    <xf numFmtId="166" fontId="42" fillId="0" borderId="26" xfId="0" applyNumberFormat="1" applyFont="1" applyBorder="1" applyAlignment="1">
      <alignment vertical="center"/>
    </xf>
    <xf numFmtId="166" fontId="42" fillId="0" borderId="37" xfId="0" applyNumberFormat="1" applyFont="1" applyBorder="1" applyAlignment="1">
      <alignment vertical="center"/>
    </xf>
    <xf numFmtId="1" fontId="31" fillId="0" borderId="0" xfId="1" applyNumberFormat="1" applyFont="1" applyFill="1" applyBorder="1"/>
    <xf numFmtId="166" fontId="34" fillId="0" borderId="0" xfId="112" applyNumberFormat="1" applyFont="1" applyBorder="1" applyAlignment="1">
      <alignment horizontal="center"/>
    </xf>
    <xf numFmtId="0" fontId="34" fillId="0" borderId="0" xfId="112" applyFont="1" applyBorder="1" applyAlignment="1">
      <alignment horizontal="center"/>
    </xf>
    <xf numFmtId="0" fontId="34" fillId="0" borderId="0" xfId="112" applyFont="1" applyBorder="1"/>
    <xf numFmtId="0" fontId="34" fillId="0" borderId="0" xfId="115" applyFont="1"/>
    <xf numFmtId="0" fontId="50" fillId="0" borderId="0" xfId="0" applyFont="1" applyBorder="1" applyAlignment="1">
      <alignment vertical="center"/>
    </xf>
    <xf numFmtId="49" fontId="93" fillId="0" borderId="0" xfId="0" applyNumberFormat="1" applyFont="1" applyAlignment="1">
      <alignment horizontal="center" vertical="center" wrapText="1"/>
    </xf>
    <xf numFmtId="0" fontId="37" fillId="0" borderId="11" xfId="119" applyFont="1" applyFill="1" applyBorder="1" applyAlignment="1">
      <alignment horizontal="center" vertical="center" textRotation="90" wrapText="1"/>
    </xf>
    <xf numFmtId="0" fontId="37" fillId="0" borderId="0" xfId="119" applyFont="1" applyFill="1" applyBorder="1" applyAlignment="1">
      <alignment horizontal="center" vertical="center"/>
    </xf>
    <xf numFmtId="0" fontId="56" fillId="0" borderId="0" xfId="116" applyFont="1" applyAlignment="1">
      <alignment horizontal="left" vertical="center"/>
    </xf>
    <xf numFmtId="0" fontId="31" fillId="0" borderId="0" xfId="112" applyFont="1" applyAlignment="1">
      <alignment vertical="center"/>
    </xf>
    <xf numFmtId="3" fontId="31" fillId="0" borderId="0" xfId="112" applyNumberFormat="1" applyFont="1" applyAlignment="1">
      <alignment vertical="center"/>
    </xf>
    <xf numFmtId="0" fontId="38" fillId="0" borderId="0" xfId="115" applyFont="1" applyFill="1" applyAlignment="1">
      <alignment vertical="center"/>
    </xf>
    <xf numFmtId="3" fontId="39" fillId="0" borderId="0" xfId="115" applyNumberFormat="1" applyFont="1" applyFill="1" applyAlignment="1">
      <alignment vertical="center"/>
    </xf>
    <xf numFmtId="0" fontId="38" fillId="0" borderId="0" xfId="115" applyFont="1" applyFill="1" applyBorder="1" applyAlignment="1">
      <alignment horizontal="center" vertical="center"/>
    </xf>
    <xf numFmtId="0" fontId="80" fillId="0" borderId="0" xfId="115" applyFont="1" applyFill="1" applyBorder="1" applyAlignment="1">
      <alignment vertical="center"/>
    </xf>
    <xf numFmtId="3" fontId="39" fillId="0" borderId="0" xfId="115" applyNumberFormat="1" applyFont="1" applyFill="1" applyBorder="1" applyAlignment="1">
      <alignment vertical="center"/>
    </xf>
    <xf numFmtId="165" fontId="39" fillId="0" borderId="0" xfId="115" applyNumberFormat="1" applyFont="1" applyFill="1" applyBorder="1" applyAlignment="1">
      <alignment vertical="center"/>
    </xf>
    <xf numFmtId="0" fontId="39" fillId="0" borderId="0" xfId="115" applyFont="1" applyFill="1" applyBorder="1" applyAlignment="1">
      <alignment vertical="center"/>
    </xf>
    <xf numFmtId="4" fontId="39" fillId="0" borderId="0" xfId="115" applyNumberFormat="1" applyFont="1" applyFill="1" applyBorder="1" applyAlignment="1">
      <alignment vertical="center"/>
    </xf>
    <xf numFmtId="0" fontId="38" fillId="0" borderId="0" xfId="115" applyFont="1" applyFill="1" applyBorder="1" applyAlignment="1">
      <alignment vertical="center"/>
    </xf>
    <xf numFmtId="0" fontId="38" fillId="0" borderId="0" xfId="115" applyFont="1" applyFill="1" applyAlignment="1">
      <alignment horizontal="center" vertical="center"/>
    </xf>
    <xf numFmtId="166" fontId="39" fillId="0" borderId="0" xfId="115" applyNumberFormat="1" applyFont="1" applyFill="1" applyAlignment="1">
      <alignment vertical="center"/>
    </xf>
    <xf numFmtId="3" fontId="39" fillId="0" borderId="0" xfId="115" applyNumberFormat="1" applyFont="1" applyFill="1" applyAlignment="1">
      <alignment horizontal="right" vertical="center"/>
    </xf>
    <xf numFmtId="0" fontId="39" fillId="0" borderId="0" xfId="115" applyFont="1" applyFill="1" applyAlignment="1">
      <alignment horizontal="center" vertical="center"/>
    </xf>
    <xf numFmtId="0" fontId="40" fillId="0" borderId="0" xfId="115" applyFont="1" applyFill="1" applyAlignment="1">
      <alignment horizontal="center" vertical="center"/>
    </xf>
    <xf numFmtId="3" fontId="81" fillId="0" borderId="0" xfId="115" applyNumberFormat="1" applyFont="1" applyFill="1" applyAlignment="1">
      <alignment vertical="center"/>
    </xf>
    <xf numFmtId="3" fontId="38" fillId="0" borderId="0" xfId="115" applyNumberFormat="1" applyFont="1" applyFill="1" applyAlignment="1">
      <alignment vertical="center"/>
    </xf>
    <xf numFmtId="3" fontId="38" fillId="0" borderId="0" xfId="115" applyNumberFormat="1" applyFont="1" applyFill="1" applyBorder="1" applyAlignment="1">
      <alignment vertical="center"/>
    </xf>
    <xf numFmtId="3" fontId="38" fillId="0" borderId="0" xfId="115" applyNumberFormat="1" applyFont="1" applyFill="1" applyBorder="1" applyAlignment="1">
      <alignment horizontal="right" vertical="center"/>
    </xf>
    <xf numFmtId="3" fontId="38" fillId="0" borderId="0" xfId="115" applyNumberFormat="1" applyFont="1" applyFill="1" applyAlignment="1">
      <alignment horizontal="right" vertical="center"/>
    </xf>
    <xf numFmtId="0" fontId="61" fillId="0" borderId="11" xfId="0" applyFont="1" applyBorder="1" applyAlignment="1">
      <alignment horizontal="left" vertical="center"/>
    </xf>
    <xf numFmtId="0" fontId="50" fillId="0" borderId="11" xfId="0" applyFont="1" applyBorder="1" applyAlignment="1">
      <alignment horizontal="left" vertical="center"/>
    </xf>
    <xf numFmtId="0" fontId="64" fillId="0" borderId="14" xfId="0" applyFont="1" applyBorder="1" applyAlignment="1">
      <alignment horizontal="center" vertical="center" wrapText="1"/>
    </xf>
    <xf numFmtId="0" fontId="36" fillId="46" borderId="11" xfId="110" applyFont="1" applyFill="1" applyBorder="1" applyAlignment="1">
      <alignment horizontal="center" vertical="center" wrapText="1"/>
    </xf>
    <xf numFmtId="0" fontId="36" fillId="0" borderId="11" xfId="110" applyFont="1" applyBorder="1" applyAlignment="1">
      <alignment horizontal="center" vertical="center"/>
    </xf>
    <xf numFmtId="3" fontId="36" fillId="0" borderId="11" xfId="110" applyNumberFormat="1" applyFont="1" applyBorder="1" applyAlignment="1">
      <alignment horizontal="center" vertical="center"/>
    </xf>
    <xf numFmtId="0" fontId="36" fillId="0" borderId="11" xfId="110" applyFont="1" applyBorder="1" applyAlignment="1">
      <alignment horizontal="center" vertical="center" wrapText="1"/>
    </xf>
    <xf numFmtId="164" fontId="38" fillId="0" borderId="11" xfId="107" applyFont="1" applyFill="1">
      <alignment vertical="center"/>
    </xf>
    <xf numFmtId="164" fontId="40" fillId="0" borderId="11" xfId="107" applyFont="1" applyFill="1">
      <alignment vertical="center"/>
    </xf>
    <xf numFmtId="0" fontId="50" fillId="0" borderId="0" xfId="0" applyFont="1" applyFill="1"/>
    <xf numFmtId="164" fontId="40" fillId="0" borderId="11" xfId="107" applyFont="1" applyFill="1" applyAlignment="1">
      <alignment vertical="center" wrapText="1"/>
    </xf>
    <xf numFmtId="0" fontId="39" fillId="0" borderId="11" xfId="110" applyFont="1" applyFill="1" applyBorder="1" applyAlignment="1">
      <alignment horizontal="left" vertical="center"/>
    </xf>
    <xf numFmtId="0" fontId="39" fillId="0" borderId="11" xfId="110" applyFont="1" applyFill="1" applyBorder="1" applyAlignment="1">
      <alignment horizontal="left" vertical="center" wrapText="1"/>
    </xf>
    <xf numFmtId="164" fontId="38" fillId="0" borderId="11" xfId="107" applyFont="1" applyFill="1" applyAlignment="1">
      <alignment vertical="center" wrapText="1"/>
    </xf>
    <xf numFmtId="164" fontId="38" fillId="0" borderId="11" xfId="107" quotePrefix="1" applyFont="1" applyFill="1" applyAlignment="1">
      <alignment horizontal="right" vertical="center"/>
    </xf>
    <xf numFmtId="0" fontId="99" fillId="0" borderId="16" xfId="111" applyFont="1" applyFill="1" applyBorder="1" applyAlignment="1">
      <alignment vertical="center" wrapText="1"/>
    </xf>
    <xf numFmtId="0" fontId="99" fillId="0" borderId="11" xfId="111" applyFont="1" applyFill="1" applyBorder="1" applyAlignment="1">
      <alignment vertical="center" wrapText="1"/>
    </xf>
    <xf numFmtId="0" fontId="99" fillId="0" borderId="17" xfId="111" applyFont="1" applyFill="1" applyBorder="1" applyAlignment="1">
      <alignment vertical="center" wrapText="1"/>
    </xf>
    <xf numFmtId="173" fontId="40" fillId="0" borderId="11" xfId="107" applyNumberFormat="1" applyFont="1" applyFill="1">
      <alignment vertical="center"/>
    </xf>
    <xf numFmtId="0" fontId="61" fillId="0" borderId="0" xfId="0" applyFont="1" applyFill="1"/>
    <xf numFmtId="0" fontId="50" fillId="0" borderId="30" xfId="1" applyFont="1" applyFill="1" applyBorder="1" applyAlignment="1">
      <alignment horizontal="left" vertical="center"/>
    </xf>
    <xf numFmtId="0" fontId="100" fillId="0" borderId="0" xfId="0" applyFont="1"/>
    <xf numFmtId="0" fontId="77" fillId="0" borderId="0" xfId="0" applyFont="1"/>
    <xf numFmtId="0" fontId="56" fillId="0" borderId="0" xfId="116" applyFont="1" applyAlignment="1">
      <alignment vertical="center"/>
    </xf>
    <xf numFmtId="0" fontId="46" fillId="0" borderId="0" xfId="117" applyAlignment="1">
      <alignment vertical="center"/>
    </xf>
    <xf numFmtId="49" fontId="52" fillId="0" borderId="0" xfId="115" applyNumberFormat="1" applyFont="1" applyAlignment="1">
      <alignment vertical="center"/>
    </xf>
    <xf numFmtId="0" fontId="59" fillId="0" borderId="0" xfId="0" applyFont="1" applyAlignment="1">
      <alignment vertical="center"/>
    </xf>
    <xf numFmtId="49" fontId="52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0" fontId="52" fillId="0" borderId="0" xfId="0" applyFont="1" applyAlignment="1">
      <alignment vertical="center"/>
    </xf>
    <xf numFmtId="0" fontId="52" fillId="0" borderId="0" xfId="115" applyFont="1" applyAlignment="1">
      <alignment vertical="center"/>
    </xf>
    <xf numFmtId="0" fontId="19" fillId="0" borderId="0" xfId="115" applyAlignment="1">
      <alignment vertical="center"/>
    </xf>
    <xf numFmtId="0" fontId="101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165" fontId="101" fillId="0" borderId="11" xfId="0" applyNumberFormat="1" applyFont="1" applyBorder="1" applyAlignment="1">
      <alignment vertical="center"/>
    </xf>
    <xf numFmtId="165" fontId="99" fillId="0" borderId="11" xfId="0" applyNumberFormat="1" applyFont="1" applyBorder="1" applyAlignment="1">
      <alignment vertical="center"/>
    </xf>
    <xf numFmtId="49" fontId="99" fillId="0" borderId="11" xfId="0" applyNumberFormat="1" applyFont="1" applyBorder="1" applyAlignment="1">
      <alignment vertical="center"/>
    </xf>
    <xf numFmtId="49" fontId="99" fillId="0" borderId="0" xfId="115" applyNumberFormat="1" applyFont="1" applyAlignment="1">
      <alignment vertical="center"/>
    </xf>
    <xf numFmtId="49" fontId="102" fillId="0" borderId="11" xfId="0" applyNumberFormat="1" applyFont="1" applyBorder="1" applyAlignment="1">
      <alignment vertical="center"/>
    </xf>
    <xf numFmtId="49" fontId="99" fillId="0" borderId="11" xfId="0" applyNumberFormat="1" applyFont="1" applyBorder="1" applyAlignment="1">
      <alignment horizontal="right" vertical="center"/>
    </xf>
    <xf numFmtId="49" fontId="99" fillId="0" borderId="11" xfId="0" applyNumberFormat="1" applyFont="1" applyBorder="1" applyAlignment="1">
      <alignment horizontal="center" vertical="center"/>
    </xf>
    <xf numFmtId="49" fontId="99" fillId="0" borderId="11" xfId="0" applyNumberFormat="1" applyFont="1" applyBorder="1" applyAlignment="1">
      <alignment vertical="center" wrapText="1"/>
    </xf>
    <xf numFmtId="0" fontId="101" fillId="0" borderId="11" xfId="0" applyFont="1" applyBorder="1" applyAlignment="1">
      <alignment vertical="center"/>
    </xf>
    <xf numFmtId="0" fontId="103" fillId="0" borderId="11" xfId="0" applyFont="1" applyBorder="1" applyAlignment="1">
      <alignment vertical="center"/>
    </xf>
    <xf numFmtId="0" fontId="99" fillId="0" borderId="11" xfId="0" applyFont="1" applyBorder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31" fillId="0" borderId="0" xfId="119" applyFont="1" applyBorder="1" applyAlignment="1">
      <alignment vertical="center"/>
    </xf>
    <xf numFmtId="0" fontId="31" fillId="0" borderId="0" xfId="119" applyFont="1" applyAlignment="1">
      <alignment vertical="center"/>
    </xf>
    <xf numFmtId="3" fontId="37" fillId="0" borderId="11" xfId="119" applyNumberFormat="1" applyFont="1" applyFill="1" applyBorder="1" applyAlignment="1">
      <alignment horizontal="right" vertical="center"/>
    </xf>
    <xf numFmtId="3" fontId="37" fillId="0" borderId="11" xfId="119" applyNumberFormat="1" applyFont="1" applyFill="1" applyBorder="1" applyAlignment="1">
      <alignment vertical="center"/>
    </xf>
    <xf numFmtId="0" fontId="37" fillId="0" borderId="11" xfId="119" applyFont="1" applyFill="1" applyBorder="1" applyAlignment="1">
      <alignment vertical="center"/>
    </xf>
    <xf numFmtId="3" fontId="37" fillId="0" borderId="0" xfId="119" applyNumberFormat="1" applyFont="1" applyBorder="1" applyAlignment="1">
      <alignment horizontal="center" vertical="center"/>
    </xf>
    <xf numFmtId="3" fontId="37" fillId="0" borderId="0" xfId="119" applyNumberFormat="1" applyFont="1" applyBorder="1" applyAlignment="1">
      <alignment vertical="center"/>
    </xf>
    <xf numFmtId="3" fontId="37" fillId="0" borderId="0" xfId="119" applyNumberFormat="1" applyFont="1" applyFill="1" applyBorder="1" applyAlignment="1">
      <alignment vertical="center"/>
    </xf>
    <xf numFmtId="0" fontId="37" fillId="0" borderId="0" xfId="119" applyFont="1" applyFill="1" applyBorder="1" applyAlignment="1">
      <alignment vertical="center"/>
    </xf>
    <xf numFmtId="0" fontId="50" fillId="0" borderId="0" xfId="0" applyFont="1" applyAlignment="1">
      <alignment vertical="center"/>
    </xf>
    <xf numFmtId="3" fontId="37" fillId="0" borderId="0" xfId="119" applyNumberFormat="1" applyFont="1" applyFill="1" applyAlignment="1">
      <alignment vertical="center"/>
    </xf>
    <xf numFmtId="3" fontId="36" fillId="0" borderId="11" xfId="0" applyNumberFormat="1" applyFont="1" applyFill="1" applyBorder="1" applyAlignment="1">
      <alignment horizontal="right" vertical="center"/>
    </xf>
    <xf numFmtId="166" fontId="36" fillId="0" borderId="11" xfId="0" applyNumberFormat="1" applyFont="1" applyFill="1" applyBorder="1" applyAlignment="1">
      <alignment horizontal="right" vertical="center"/>
    </xf>
    <xf numFmtId="0" fontId="50" fillId="0" borderId="0" xfId="0" applyFont="1" applyAlignment="1">
      <alignment horizontal="center" vertical="center"/>
    </xf>
    <xf numFmtId="0" fontId="31" fillId="0" borderId="0" xfId="115" applyFont="1" applyAlignment="1">
      <alignment horizontal="center" vertical="center"/>
    </xf>
    <xf numFmtId="0" fontId="50" fillId="0" borderId="24" xfId="0" applyFont="1" applyBorder="1" applyAlignment="1">
      <alignment vertical="center"/>
    </xf>
    <xf numFmtId="0" fontId="50" fillId="0" borderId="14" xfId="0" applyFont="1" applyBorder="1" applyAlignment="1">
      <alignment vertical="center"/>
    </xf>
    <xf numFmtId="0" fontId="50" fillId="0" borderId="11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 wrapText="1"/>
    </xf>
    <xf numFmtId="0" fontId="41" fillId="0" borderId="0" xfId="0" applyFont="1" applyAlignment="1">
      <alignment horizontal="centerContinuous" vertical="center"/>
    </xf>
    <xf numFmtId="0" fontId="31" fillId="0" borderId="0" xfId="0" applyFont="1" applyAlignment="1">
      <alignment horizontal="centerContinuous" vertical="center"/>
    </xf>
    <xf numFmtId="0" fontId="37" fillId="0" borderId="0" xfId="0" applyFont="1" applyAlignment="1">
      <alignment horizontal="centerContinuous" vertical="center"/>
    </xf>
    <xf numFmtId="0" fontId="31" fillId="0" borderId="30" xfId="0" applyFont="1" applyBorder="1" applyAlignment="1">
      <alignment vertical="center"/>
    </xf>
    <xf numFmtId="0" fontId="31" fillId="0" borderId="0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3" fontId="31" fillId="0" borderId="15" xfId="0" applyNumberFormat="1" applyFont="1" applyBorder="1" applyAlignment="1">
      <alignment horizontal="centerContinuous" vertical="center"/>
    </xf>
    <xf numFmtId="3" fontId="31" fillId="0" borderId="11" xfId="0" applyNumberFormat="1" applyFont="1" applyFill="1" applyBorder="1" applyAlignment="1">
      <alignment horizontal="centerContinuous" vertical="center"/>
    </xf>
    <xf numFmtId="0" fontId="42" fillId="0" borderId="0" xfId="0" quotePrefix="1" applyFont="1" applyAlignment="1">
      <alignment horizontal="left" vertical="center"/>
    </xf>
    <xf numFmtId="0" fontId="42" fillId="0" borderId="0" xfId="0" applyFont="1" applyAlignment="1">
      <alignment vertical="center"/>
    </xf>
    <xf numFmtId="3" fontId="42" fillId="0" borderId="0" xfId="0" applyNumberFormat="1" applyFont="1" applyFill="1" applyAlignment="1">
      <alignment vertical="center"/>
    </xf>
    <xf numFmtId="0" fontId="42" fillId="0" borderId="0" xfId="0" applyFont="1" applyFill="1" applyAlignment="1">
      <alignment vertical="center"/>
    </xf>
    <xf numFmtId="2" fontId="42" fillId="0" borderId="0" xfId="0" applyNumberFormat="1" applyFont="1" applyFill="1" applyAlignment="1">
      <alignment vertical="center"/>
    </xf>
    <xf numFmtId="0" fontId="31" fillId="0" borderId="0" xfId="0" applyFont="1" applyAlignment="1">
      <alignment horizontal="left" vertical="center"/>
    </xf>
    <xf numFmtId="3" fontId="31" fillId="0" borderId="0" xfId="0" applyNumberFormat="1" applyFont="1" applyFill="1" applyAlignment="1">
      <alignment vertical="center"/>
    </xf>
    <xf numFmtId="0" fontId="31" fillId="0" borderId="0" xfId="0" applyFont="1" applyFill="1" applyAlignment="1">
      <alignment vertical="center"/>
    </xf>
    <xf numFmtId="2" fontId="31" fillId="0" borderId="0" xfId="0" applyNumberFormat="1" applyFont="1" applyFill="1" applyAlignment="1">
      <alignment vertical="center"/>
    </xf>
    <xf numFmtId="0" fontId="42" fillId="0" borderId="14" xfId="0" quotePrefix="1" applyFont="1" applyBorder="1" applyAlignment="1">
      <alignment horizontal="left" vertical="center"/>
    </xf>
    <xf numFmtId="0" fontId="42" fillId="0" borderId="14" xfId="0" applyFont="1" applyBorder="1" applyAlignment="1">
      <alignment vertical="center"/>
    </xf>
    <xf numFmtId="3" fontId="42" fillId="0" borderId="14" xfId="0" applyNumberFormat="1" applyFont="1" applyFill="1" applyBorder="1" applyAlignment="1">
      <alignment vertical="center"/>
    </xf>
    <xf numFmtId="2" fontId="42" fillId="0" borderId="14" xfId="0" applyNumberFormat="1" applyFont="1" applyFill="1" applyBorder="1" applyAlignment="1">
      <alignment vertical="center"/>
    </xf>
    <xf numFmtId="0" fontId="42" fillId="0" borderId="29" xfId="0" quotePrefix="1" applyFont="1" applyBorder="1" applyAlignment="1">
      <alignment horizontal="left" vertical="center"/>
    </xf>
    <xf numFmtId="0" fontId="42" fillId="0" borderId="29" xfId="0" applyFont="1" applyBorder="1" applyAlignment="1">
      <alignment vertical="center"/>
    </xf>
    <xf numFmtId="3" fontId="42" fillId="0" borderId="29" xfId="0" applyNumberFormat="1" applyFont="1" applyFill="1" applyBorder="1" applyAlignment="1">
      <alignment vertical="center"/>
    </xf>
    <xf numFmtId="2" fontId="42" fillId="0" borderId="29" xfId="0" applyNumberFormat="1" applyFont="1" applyFill="1" applyBorder="1" applyAlignment="1">
      <alignment vertical="center"/>
    </xf>
    <xf numFmtId="0" fontId="77" fillId="45" borderId="14" xfId="1" applyFont="1" applyFill="1" applyBorder="1" applyAlignment="1">
      <alignment horizontal="left" vertical="center"/>
    </xf>
    <xf numFmtId="0" fontId="45" fillId="45" borderId="25" xfId="1" applyFont="1" applyFill="1" applyBorder="1" applyAlignment="1">
      <alignment horizontal="center" vertical="center"/>
    </xf>
    <xf numFmtId="0" fontId="50" fillId="45" borderId="24" xfId="1" applyFont="1" applyFill="1" applyBorder="1" applyAlignment="1">
      <alignment horizontal="left" vertical="center"/>
    </xf>
    <xf numFmtId="0" fontId="61" fillId="0" borderId="21" xfId="1" applyFont="1" applyFill="1" applyBorder="1" applyAlignment="1">
      <alignment horizontal="left" vertical="center" wrapText="1"/>
    </xf>
    <xf numFmtId="0" fontId="78" fillId="0" borderId="18" xfId="1" applyFont="1" applyFill="1" applyBorder="1" applyAlignment="1">
      <alignment horizontal="left" vertical="center" wrapText="1"/>
    </xf>
    <xf numFmtId="0" fontId="78" fillId="0" borderId="22" xfId="1" applyFont="1" applyFill="1" applyBorder="1" applyAlignment="1">
      <alignment horizontal="left" vertical="center" wrapText="1"/>
    </xf>
    <xf numFmtId="0" fontId="50" fillId="0" borderId="25" xfId="0" applyFont="1" applyBorder="1" applyAlignment="1">
      <alignment vertical="center"/>
    </xf>
    <xf numFmtId="1" fontId="31" fillId="0" borderId="11" xfId="114" applyNumberFormat="1" applyFont="1" applyBorder="1" applyAlignment="1">
      <alignment horizontal="center" vertical="center"/>
    </xf>
    <xf numFmtId="0" fontId="54" fillId="0" borderId="0" xfId="115" applyFont="1" applyAlignment="1">
      <alignment vertical="center"/>
    </xf>
    <xf numFmtId="0" fontId="73" fillId="0" borderId="11" xfId="115" applyFont="1" applyBorder="1" applyAlignment="1">
      <alignment horizontal="left" vertical="center" wrapText="1"/>
    </xf>
    <xf numFmtId="0" fontId="50" fillId="0" borderId="11" xfId="115" applyFont="1" applyBorder="1"/>
    <xf numFmtId="0" fontId="61" fillId="0" borderId="11" xfId="115" applyFont="1" applyBorder="1" applyAlignment="1">
      <alignment horizontal="center" vertical="center"/>
    </xf>
    <xf numFmtId="0" fontId="31" fillId="0" borderId="0" xfId="114" applyFont="1" applyBorder="1"/>
    <xf numFmtId="2" fontId="31" fillId="49" borderId="0" xfId="114" applyNumberFormat="1" applyFont="1" applyFill="1" applyBorder="1"/>
    <xf numFmtId="2" fontId="31" fillId="0" borderId="0" xfId="114" applyNumberFormat="1" applyFont="1" applyBorder="1"/>
    <xf numFmtId="2" fontId="31" fillId="0" borderId="0" xfId="114" applyNumberFormat="1" applyFont="1" applyBorder="1" applyAlignment="1">
      <alignment horizontal="center" vertical="center"/>
    </xf>
    <xf numFmtId="0" fontId="73" fillId="0" borderId="11" xfId="0" applyFont="1" applyBorder="1" applyAlignment="1">
      <alignment horizontal="center" vertical="center"/>
    </xf>
    <xf numFmtId="0" fontId="73" fillId="0" borderId="11" xfId="0" applyFont="1" applyBorder="1" applyAlignment="1">
      <alignment horizontal="center" vertical="center" wrapText="1"/>
    </xf>
    <xf numFmtId="0" fontId="73" fillId="50" borderId="11" xfId="0" applyFont="1" applyFill="1" applyBorder="1" applyAlignment="1">
      <alignment horizontal="center" vertical="center"/>
    </xf>
    <xf numFmtId="0" fontId="51" fillId="0" borderId="11" xfId="0" applyFont="1" applyBorder="1" applyAlignment="1">
      <alignment horizontal="center" vertical="center" wrapText="1"/>
    </xf>
    <xf numFmtId="0" fontId="51" fillId="50" borderId="11" xfId="0" applyFont="1" applyFill="1" applyBorder="1" applyAlignment="1">
      <alignment horizontal="center" vertical="center" wrapText="1"/>
    </xf>
    <xf numFmtId="0" fontId="41" fillId="0" borderId="14" xfId="124" applyFont="1" applyFill="1" applyBorder="1" applyAlignment="1">
      <alignment horizontal="center" vertical="center"/>
    </xf>
    <xf numFmtId="0" fontId="92" fillId="0" borderId="0" xfId="1" applyFont="1" applyAlignment="1">
      <alignment horizontal="center" vertical="center"/>
    </xf>
    <xf numFmtId="0" fontId="50" fillId="0" borderId="30" xfId="0" applyFont="1" applyBorder="1" applyAlignment="1">
      <alignment vertical="center"/>
    </xf>
    <xf numFmtId="0" fontId="50" fillId="0" borderId="0" xfId="0" applyFont="1" applyBorder="1" applyAlignment="1">
      <alignment vertical="center"/>
    </xf>
    <xf numFmtId="0" fontId="50" fillId="0" borderId="31" xfId="0" applyFont="1" applyBorder="1" applyAlignment="1">
      <alignment vertical="center"/>
    </xf>
    <xf numFmtId="0" fontId="50" fillId="0" borderId="30" xfId="0" applyFont="1" applyBorder="1" applyAlignment="1">
      <alignment vertical="center" wrapText="1"/>
    </xf>
    <xf numFmtId="0" fontId="50" fillId="0" borderId="0" xfId="0" applyFont="1" applyBorder="1" applyAlignment="1">
      <alignment vertical="center" wrapText="1"/>
    </xf>
    <xf numFmtId="0" fontId="50" fillId="0" borderId="31" xfId="0" applyFont="1" applyBorder="1" applyAlignment="1">
      <alignment vertical="center" wrapText="1"/>
    </xf>
    <xf numFmtId="0" fontId="61" fillId="45" borderId="21" xfId="1" applyFont="1" applyFill="1" applyBorder="1" applyAlignment="1">
      <alignment horizontal="left" vertical="center" wrapText="1"/>
    </xf>
    <xf numFmtId="0" fontId="78" fillId="45" borderId="18" xfId="1" applyFont="1" applyFill="1" applyBorder="1" applyAlignment="1">
      <alignment horizontal="left" vertical="center" wrapText="1"/>
    </xf>
    <xf numFmtId="0" fontId="61" fillId="44" borderId="19" xfId="1" applyFont="1" applyFill="1" applyBorder="1" applyAlignment="1">
      <alignment horizontal="left" vertical="center" wrapText="1"/>
    </xf>
    <xf numFmtId="0" fontId="77" fillId="44" borderId="15" xfId="1" applyFont="1" applyFill="1" applyBorder="1" applyAlignment="1">
      <alignment horizontal="left" vertical="center" wrapText="1"/>
    </xf>
    <xf numFmtId="0" fontId="61" fillId="44" borderId="19" xfId="1" applyFont="1" applyFill="1" applyBorder="1" applyAlignment="1">
      <alignment horizontal="left" vertical="center"/>
    </xf>
    <xf numFmtId="0" fontId="61" fillId="44" borderId="15" xfId="1" applyFont="1" applyFill="1" applyBorder="1" applyAlignment="1">
      <alignment horizontal="left" vertical="center"/>
    </xf>
    <xf numFmtId="0" fontId="77" fillId="0" borderId="15" xfId="1" applyFont="1" applyBorder="1" applyAlignment="1">
      <alignment horizontal="left" vertical="center" wrapText="1"/>
    </xf>
    <xf numFmtId="0" fontId="33" fillId="0" borderId="0" xfId="1" applyFont="1" applyAlignment="1">
      <alignment horizontal="center" vertical="center"/>
    </xf>
    <xf numFmtId="0" fontId="50" fillId="0" borderId="3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/>
    </xf>
    <xf numFmtId="0" fontId="35" fillId="0" borderId="0" xfId="1" applyFont="1" applyFill="1" applyAlignment="1">
      <alignment horizontal="left" vertical="center" wrapText="1"/>
    </xf>
    <xf numFmtId="0" fontId="76" fillId="0" borderId="0" xfId="1" applyFont="1" applyAlignment="1">
      <alignment horizontal="left" vertical="center" wrapText="1"/>
    </xf>
    <xf numFmtId="0" fontId="61" fillId="44" borderId="15" xfId="1" applyFont="1" applyFill="1" applyBorder="1" applyAlignment="1">
      <alignment horizontal="left" vertical="center" wrapText="1"/>
    </xf>
    <xf numFmtId="0" fontId="79" fillId="0" borderId="0" xfId="115" applyFont="1" applyFill="1" applyAlignment="1" applyProtection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73" fillId="0" borderId="0" xfId="0" applyFont="1" applyAlignment="1">
      <alignment horizontal="center" vertical="center" wrapText="1"/>
    </xf>
    <xf numFmtId="0" fontId="31" fillId="0" borderId="38" xfId="1" applyFont="1" applyBorder="1" applyAlignment="1">
      <alignment horizontal="center"/>
    </xf>
    <xf numFmtId="0" fontId="56" fillId="0" borderId="0" xfId="116" applyFont="1" applyAlignment="1">
      <alignment horizontal="left" vertical="center" wrapText="1"/>
    </xf>
    <xf numFmtId="0" fontId="34" fillId="0" borderId="0" xfId="1" applyFont="1" applyBorder="1" applyAlignment="1">
      <alignment horizontal="center" vertical="center" wrapText="1"/>
    </xf>
    <xf numFmtId="0" fontId="34" fillId="0" borderId="14" xfId="1" applyFont="1" applyBorder="1" applyAlignment="1">
      <alignment horizontal="center" vertical="center" wrapText="1"/>
    </xf>
    <xf numFmtId="0" fontId="31" fillId="0" borderId="38" xfId="1" applyFont="1" applyBorder="1" applyAlignment="1">
      <alignment horizontal="center" vertical="center" wrapText="1"/>
    </xf>
    <xf numFmtId="0" fontId="42" fillId="0" borderId="38" xfId="1" applyFont="1" applyBorder="1" applyAlignment="1">
      <alignment horizontal="center" vertical="center" wrapText="1"/>
    </xf>
    <xf numFmtId="0" fontId="31" fillId="0" borderId="18" xfId="1" applyFont="1" applyBorder="1" applyAlignment="1">
      <alignment horizontal="center" vertical="center" wrapText="1"/>
    </xf>
    <xf numFmtId="0" fontId="31" fillId="0" borderId="22" xfId="1" applyFont="1" applyBorder="1" applyAlignment="1">
      <alignment horizontal="center" vertical="center" wrapText="1"/>
    </xf>
    <xf numFmtId="0" fontId="31" fillId="0" borderId="14" xfId="1" applyFont="1" applyBorder="1" applyAlignment="1">
      <alignment horizontal="center" vertical="center" wrapText="1"/>
    </xf>
    <xf numFmtId="0" fontId="31" fillId="0" borderId="25" xfId="1" applyFont="1" applyBorder="1" applyAlignment="1">
      <alignment horizontal="center" vertical="center" wrapText="1"/>
    </xf>
    <xf numFmtId="166" fontId="31" fillId="0" borderId="17" xfId="1" applyNumberFormat="1" applyFont="1" applyBorder="1" applyAlignment="1">
      <alignment horizontal="center" vertical="center" wrapText="1"/>
    </xf>
    <xf numFmtId="166" fontId="31" fillId="0" borderId="23" xfId="1" applyNumberFormat="1" applyFont="1" applyBorder="1" applyAlignment="1">
      <alignment horizontal="center" vertical="center" wrapText="1"/>
    </xf>
    <xf numFmtId="166" fontId="31" fillId="0" borderId="16" xfId="1" applyNumberFormat="1" applyFont="1" applyBorder="1" applyAlignment="1">
      <alignment horizontal="center" vertical="center" wrapText="1"/>
    </xf>
    <xf numFmtId="0" fontId="34" fillId="0" borderId="0" xfId="114" applyFont="1" applyAlignment="1">
      <alignment horizontal="center" vertical="center" wrapText="1"/>
    </xf>
    <xf numFmtId="0" fontId="34" fillId="0" borderId="0" xfId="114" applyFont="1" applyAlignment="1">
      <alignment horizontal="center" vertical="center"/>
    </xf>
    <xf numFmtId="0" fontId="89" fillId="0" borderId="0" xfId="0" applyFont="1" applyAlignment="1">
      <alignment horizontal="center"/>
    </xf>
    <xf numFmtId="3" fontId="101" fillId="0" borderId="11" xfId="0" applyNumberFormat="1" applyFont="1" applyBorder="1" applyAlignment="1">
      <alignment horizontal="center" vertical="center"/>
    </xf>
    <xf numFmtId="49" fontId="93" fillId="0" borderId="0" xfId="0" applyNumberFormat="1" applyFont="1" applyAlignment="1">
      <alignment horizontal="center" vertical="center" wrapText="1"/>
    </xf>
    <xf numFmtId="49" fontId="99" fillId="0" borderId="11" xfId="0" applyNumberFormat="1" applyFont="1" applyBorder="1" applyAlignment="1">
      <alignment horizontal="center" vertical="center" wrapText="1"/>
    </xf>
    <xf numFmtId="0" fontId="101" fillId="0" borderId="11" xfId="0" applyFont="1" applyBorder="1" applyAlignment="1">
      <alignment horizontal="center" vertical="center" wrapText="1"/>
    </xf>
    <xf numFmtId="0" fontId="37" fillId="0" borderId="11" xfId="119" applyNumberFormat="1" applyFont="1" applyFill="1" applyBorder="1" applyAlignment="1">
      <alignment horizontal="center" vertical="center" textRotation="90" wrapText="1"/>
    </xf>
    <xf numFmtId="0" fontId="37" fillId="0" borderId="11" xfId="119" applyFont="1" applyFill="1" applyBorder="1" applyAlignment="1">
      <alignment horizontal="center" vertical="center" textRotation="90" wrapText="1"/>
    </xf>
    <xf numFmtId="0" fontId="37" fillId="0" borderId="11" xfId="119" applyFont="1" applyFill="1" applyBorder="1" applyAlignment="1">
      <alignment horizontal="center" vertical="center"/>
    </xf>
    <xf numFmtId="0" fontId="34" fillId="0" borderId="14" xfId="0" applyFont="1" applyFill="1" applyBorder="1" applyAlignment="1">
      <alignment horizontal="center" vertical="center" wrapText="1"/>
    </xf>
    <xf numFmtId="0" fontId="34" fillId="0" borderId="14" xfId="0" applyFont="1" applyFill="1" applyBorder="1" applyAlignment="1">
      <alignment horizontal="left" vertical="center" wrapText="1"/>
    </xf>
    <xf numFmtId="0" fontId="54" fillId="0" borderId="11" xfId="119" applyNumberFormat="1" applyFont="1" applyFill="1" applyBorder="1" applyAlignment="1">
      <alignment horizontal="center" vertical="center" textRotation="90" wrapText="1"/>
    </xf>
    <xf numFmtId="0" fontId="54" fillId="0" borderId="11" xfId="119" applyFont="1" applyFill="1" applyBorder="1" applyAlignment="1">
      <alignment horizontal="center" vertical="center" textRotation="90" wrapText="1"/>
    </xf>
    <xf numFmtId="0" fontId="37" fillId="0" borderId="19" xfId="119" applyFont="1" applyFill="1" applyBorder="1" applyAlignment="1">
      <alignment horizontal="center" vertical="center"/>
    </xf>
    <xf numFmtId="0" fontId="37" fillId="0" borderId="15" xfId="119" applyFont="1" applyFill="1" applyBorder="1" applyAlignment="1">
      <alignment horizontal="center" vertical="center"/>
    </xf>
    <xf numFmtId="0" fontId="37" fillId="0" borderId="20" xfId="119" applyFont="1" applyFill="1" applyBorder="1" applyAlignment="1">
      <alignment horizontal="center" vertical="center"/>
    </xf>
    <xf numFmtId="0" fontId="34" fillId="0" borderId="14" xfId="0" applyFont="1" applyFill="1" applyBorder="1" applyAlignment="1">
      <alignment horizontal="center" vertical="center"/>
    </xf>
    <xf numFmtId="0" fontId="37" fillId="0" borderId="0" xfId="119" applyFont="1" applyFill="1" applyBorder="1" applyAlignment="1">
      <alignment horizontal="center" vertical="center"/>
    </xf>
    <xf numFmtId="0" fontId="46" fillId="0" borderId="0" xfId="121" applyFont="1" applyFill="1" applyAlignment="1">
      <alignment horizontal="center"/>
    </xf>
    <xf numFmtId="0" fontId="42" fillId="0" borderId="0" xfId="122" applyFont="1" applyFill="1" applyBorder="1" applyAlignment="1">
      <alignment horizontal="left" vertical="center" wrapText="1"/>
    </xf>
    <xf numFmtId="0" fontId="42" fillId="0" borderId="21" xfId="122" applyFont="1" applyFill="1" applyBorder="1" applyAlignment="1">
      <alignment horizontal="center" vertical="center" textRotation="90" wrapText="1"/>
    </xf>
    <xf numFmtId="0" fontId="42" fillId="0" borderId="30" xfId="122" applyFont="1" applyFill="1" applyBorder="1" applyAlignment="1">
      <alignment horizontal="center" vertical="center" textRotation="90" wrapText="1"/>
    </xf>
    <xf numFmtId="0" fontId="42" fillId="0" borderId="24" xfId="122" applyFont="1" applyFill="1" applyBorder="1" applyAlignment="1">
      <alignment horizontal="center" vertical="center" textRotation="90" wrapText="1"/>
    </xf>
    <xf numFmtId="0" fontId="42" fillId="0" borderId="19" xfId="122" applyFont="1" applyFill="1" applyBorder="1" applyAlignment="1">
      <alignment horizontal="left" vertical="center" wrapText="1"/>
    </xf>
    <xf numFmtId="0" fontId="42" fillId="0" borderId="15" xfId="122" applyFont="1" applyFill="1" applyBorder="1" applyAlignment="1">
      <alignment horizontal="left" vertical="center" wrapText="1"/>
    </xf>
    <xf numFmtId="0" fontId="36" fillId="0" borderId="0" xfId="115" applyFont="1" applyFill="1" applyAlignment="1">
      <alignment horizontal="center" wrapText="1"/>
    </xf>
    <xf numFmtId="0" fontId="31" fillId="0" borderId="0" xfId="115" applyFont="1" applyAlignment="1">
      <alignment horizontal="center" wrapText="1"/>
    </xf>
    <xf numFmtId="0" fontId="42" fillId="0" borderId="16" xfId="122" applyFont="1" applyFill="1" applyBorder="1" applyAlignment="1">
      <alignment horizontal="center" vertical="center" textRotation="90" wrapText="1"/>
    </xf>
    <xf numFmtId="0" fontId="42" fillId="0" borderId="30" xfId="122" applyFont="1" applyFill="1" applyBorder="1" applyAlignment="1">
      <alignment horizontal="left" vertical="center" wrapText="1"/>
    </xf>
    <xf numFmtId="0" fontId="36" fillId="0" borderId="0" xfId="0" applyFont="1" applyFill="1" applyAlignment="1">
      <alignment horizontal="center" wrapText="1"/>
    </xf>
    <xf numFmtId="0" fontId="36" fillId="0" borderId="0" xfId="0" applyFont="1" applyFill="1" applyBorder="1" applyAlignment="1">
      <alignment horizontal="center"/>
    </xf>
    <xf numFmtId="0" fontId="34" fillId="0" borderId="11" xfId="0" applyFont="1" applyFill="1" applyBorder="1" applyAlignment="1">
      <alignment horizontal="center" vertical="center"/>
    </xf>
    <xf numFmtId="0" fontId="42" fillId="0" borderId="11" xfId="0" applyFont="1" applyFill="1" applyBorder="1" applyAlignment="1">
      <alignment horizontal="center" vertical="center"/>
    </xf>
    <xf numFmtId="0" fontId="64" fillId="0" borderId="19" xfId="0" applyFont="1" applyFill="1" applyBorder="1" applyAlignment="1">
      <alignment horizontal="left"/>
    </xf>
    <xf numFmtId="0" fontId="64" fillId="0" borderId="15" xfId="0" applyFont="1" applyFill="1" applyBorder="1" applyAlignment="1">
      <alignment horizontal="left"/>
    </xf>
    <xf numFmtId="0" fontId="31" fillId="0" borderId="19" xfId="0" applyFont="1" applyFill="1" applyBorder="1" applyAlignment="1">
      <alignment horizontal="left" vertical="center"/>
    </xf>
    <xf numFmtId="0" fontId="31" fillId="0" borderId="15" xfId="0" applyFont="1" applyFill="1" applyBorder="1" applyAlignment="1">
      <alignment horizontal="left" vertical="center"/>
    </xf>
    <xf numFmtId="0" fontId="64" fillId="0" borderId="0" xfId="122" applyFont="1" applyFill="1" applyBorder="1" applyAlignment="1">
      <alignment horizontal="left" vertical="center"/>
    </xf>
    <xf numFmtId="0" fontId="64" fillId="0" borderId="0" xfId="122" applyFont="1" applyFill="1" applyBorder="1" applyAlignment="1">
      <alignment horizontal="left" vertical="center" wrapText="1"/>
    </xf>
    <xf numFmtId="0" fontId="31" fillId="0" borderId="0" xfId="59" applyFont="1" applyFill="1" applyBorder="1" applyAlignment="1">
      <alignment horizontal="left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31" fillId="0" borderId="14" xfId="122" applyFont="1" applyFill="1" applyBorder="1" applyAlignment="1">
      <alignment horizontal="left" vertical="center" wrapText="1"/>
    </xf>
    <xf numFmtId="0" fontId="64" fillId="0" borderId="18" xfId="122" applyFont="1" applyFill="1" applyBorder="1" applyAlignment="1">
      <alignment horizontal="left" vertical="center" wrapText="1"/>
    </xf>
    <xf numFmtId="0" fontId="42" fillId="0" borderId="11" xfId="122" applyFont="1" applyFill="1" applyBorder="1" applyAlignment="1">
      <alignment horizontal="center" vertical="center" textRotation="90" wrapText="1"/>
    </xf>
    <xf numFmtId="0" fontId="31" fillId="0" borderId="0" xfId="122" applyFont="1" applyFill="1" applyBorder="1" applyAlignment="1">
      <alignment horizontal="left" vertical="center" wrapText="1"/>
    </xf>
    <xf numFmtId="0" fontId="77" fillId="0" borderId="0" xfId="122" applyFont="1" applyFill="1" applyBorder="1" applyAlignment="1">
      <alignment horizontal="left" vertical="center" wrapText="1"/>
    </xf>
    <xf numFmtId="0" fontId="65" fillId="48" borderId="19" xfId="122" applyFont="1" applyFill="1" applyBorder="1" applyAlignment="1">
      <alignment horizontal="left" vertical="center" wrapText="1"/>
    </xf>
    <xf numFmtId="0" fontId="65" fillId="48" borderId="15" xfId="122" applyFont="1" applyFill="1" applyBorder="1" applyAlignment="1">
      <alignment horizontal="left" vertical="center" wrapText="1"/>
    </xf>
    <xf numFmtId="2" fontId="64" fillId="0" borderId="18" xfId="0" applyNumberFormat="1" applyFont="1" applyFill="1" applyBorder="1" applyAlignment="1">
      <alignment horizontal="left" vertical="center"/>
    </xf>
    <xf numFmtId="172" fontId="64" fillId="0" borderId="0" xfId="122" applyNumberFormat="1" applyFont="1" applyFill="1" applyBorder="1" applyAlignment="1">
      <alignment horizontal="left" vertical="center"/>
    </xf>
    <xf numFmtId="0" fontId="42" fillId="0" borderId="17" xfId="122" applyFont="1" applyFill="1" applyBorder="1" applyAlignment="1">
      <alignment horizontal="center" vertical="center" textRotation="90" wrapText="1"/>
    </xf>
    <xf numFmtId="0" fontId="42" fillId="0" borderId="23" xfId="122" applyFont="1" applyFill="1" applyBorder="1" applyAlignment="1">
      <alignment horizontal="center" vertical="center" textRotation="90" wrapText="1"/>
    </xf>
    <xf numFmtId="0" fontId="42" fillId="0" borderId="23" xfId="0" applyFont="1" applyFill="1" applyBorder="1" applyAlignment="1">
      <alignment horizontal="center" textRotation="90" wrapText="1"/>
    </xf>
    <xf numFmtId="0" fontId="42" fillId="0" borderId="16" xfId="0" applyFont="1" applyFill="1" applyBorder="1" applyAlignment="1">
      <alignment horizontal="center" textRotation="90" wrapText="1"/>
    </xf>
    <xf numFmtId="166" fontId="64" fillId="0" borderId="11" xfId="0" applyNumberFormat="1" applyFont="1" applyFill="1" applyBorder="1" applyAlignment="1">
      <alignment horizontal="right" vertical="center"/>
    </xf>
    <xf numFmtId="166" fontId="64" fillId="0" borderId="19" xfId="0" applyNumberFormat="1" applyFont="1" applyFill="1" applyBorder="1" applyAlignment="1">
      <alignment horizontal="right" vertical="center"/>
    </xf>
    <xf numFmtId="0" fontId="64" fillId="0" borderId="34" xfId="0" applyFont="1" applyFill="1" applyBorder="1" applyAlignment="1">
      <alignment horizontal="left" vertical="center" wrapText="1"/>
    </xf>
    <xf numFmtId="0" fontId="64" fillId="0" borderId="34" xfId="0" applyFont="1" applyFill="1" applyBorder="1" applyAlignment="1">
      <alignment horizontal="left" vertical="center"/>
    </xf>
    <xf numFmtId="0" fontId="65" fillId="0" borderId="26" xfId="0" applyFont="1" applyFill="1" applyBorder="1" applyAlignment="1">
      <alignment horizontal="left" vertical="center" wrapText="1"/>
    </xf>
    <xf numFmtId="0" fontId="65" fillId="0" borderId="27" xfId="0" applyFont="1" applyFill="1" applyBorder="1" applyAlignment="1">
      <alignment horizontal="left" vertical="center" wrapText="1"/>
    </xf>
    <xf numFmtId="0" fontId="65" fillId="0" borderId="28" xfId="0" applyFont="1" applyFill="1" applyBorder="1" applyAlignment="1">
      <alignment horizontal="left" vertical="center" wrapText="1"/>
    </xf>
    <xf numFmtId="0" fontId="65" fillId="0" borderId="26" xfId="0" applyFont="1" applyFill="1" applyBorder="1" applyAlignment="1">
      <alignment horizontal="left" vertical="center"/>
    </xf>
    <xf numFmtId="0" fontId="65" fillId="0" borderId="28" xfId="0" applyFont="1" applyFill="1" applyBorder="1" applyAlignment="1">
      <alignment horizontal="left" vertical="center"/>
    </xf>
    <xf numFmtId="0" fontId="64" fillId="0" borderId="17" xfId="0" applyFont="1" applyFill="1" applyBorder="1" applyAlignment="1">
      <alignment horizontal="left" vertical="center" wrapText="1"/>
    </xf>
    <xf numFmtId="0" fontId="64" fillId="0" borderId="16" xfId="0" applyFont="1" applyFill="1" applyBorder="1" applyAlignment="1">
      <alignment horizontal="left" vertical="center" wrapText="1"/>
    </xf>
    <xf numFmtId="0" fontId="64" fillId="0" borderId="17" xfId="0" applyFont="1" applyFill="1" applyBorder="1" applyAlignment="1">
      <alignment horizontal="left" vertical="center"/>
    </xf>
    <xf numFmtId="0" fontId="64" fillId="0" borderId="16" xfId="0" applyFont="1" applyFill="1" applyBorder="1" applyAlignment="1">
      <alignment horizontal="left" vertical="center"/>
    </xf>
    <xf numFmtId="166" fontId="65" fillId="0" borderId="17" xfId="0" applyNumberFormat="1" applyFont="1" applyFill="1" applyBorder="1" applyAlignment="1">
      <alignment horizontal="right" vertical="center"/>
    </xf>
    <xf numFmtId="166" fontId="65" fillId="0" borderId="16" xfId="0" applyNumberFormat="1" applyFont="1" applyFill="1" applyBorder="1" applyAlignment="1">
      <alignment horizontal="right" vertical="center"/>
    </xf>
    <xf numFmtId="166" fontId="64" fillId="0" borderId="21" xfId="0" applyNumberFormat="1" applyFont="1" applyFill="1" applyBorder="1" applyAlignment="1">
      <alignment horizontal="right" vertical="center"/>
    </xf>
    <xf numFmtId="166" fontId="64" fillId="0" borderId="24" xfId="0" applyNumberFormat="1" applyFont="1" applyFill="1" applyBorder="1" applyAlignment="1">
      <alignment horizontal="right" vertical="center"/>
    </xf>
    <xf numFmtId="0" fontId="64" fillId="0" borderId="21" xfId="0" applyFont="1" applyFill="1" applyBorder="1" applyAlignment="1">
      <alignment horizontal="left" vertical="center" wrapText="1"/>
    </xf>
    <xf numFmtId="0" fontId="64" fillId="0" borderId="18" xfId="0" applyFont="1" applyFill="1" applyBorder="1" applyAlignment="1">
      <alignment horizontal="left" vertical="center" wrapText="1"/>
    </xf>
    <xf numFmtId="0" fontId="64" fillId="0" borderId="22" xfId="0" applyFont="1" applyFill="1" applyBorder="1" applyAlignment="1">
      <alignment horizontal="left" vertical="center" wrapText="1"/>
    </xf>
    <xf numFmtId="0" fontId="64" fillId="0" borderId="30" xfId="0" applyFont="1" applyFill="1" applyBorder="1" applyAlignment="1">
      <alignment horizontal="left"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64" fillId="0" borderId="31" xfId="0" applyFont="1" applyFill="1" applyBorder="1" applyAlignment="1">
      <alignment horizontal="left" vertical="center" wrapText="1"/>
    </xf>
    <xf numFmtId="0" fontId="64" fillId="0" borderId="24" xfId="0" applyFont="1" applyFill="1" applyBorder="1" applyAlignment="1">
      <alignment horizontal="left" vertical="center" wrapText="1"/>
    </xf>
    <xf numFmtId="0" fontId="64" fillId="0" borderId="14" xfId="0" applyFont="1" applyFill="1" applyBorder="1" applyAlignment="1">
      <alignment horizontal="left" vertical="center" wrapText="1"/>
    </xf>
    <xf numFmtId="0" fontId="64" fillId="0" borderId="25" xfId="0" applyFont="1" applyFill="1" applyBorder="1" applyAlignment="1">
      <alignment horizontal="left" vertical="center" wrapText="1"/>
    </xf>
    <xf numFmtId="0" fontId="64" fillId="0" borderId="19" xfId="0" applyFont="1" applyFill="1" applyBorder="1" applyAlignment="1">
      <alignment horizontal="left" vertical="center"/>
    </xf>
    <xf numFmtId="0" fontId="64" fillId="0" borderId="20" xfId="0" applyFont="1" applyFill="1" applyBorder="1" applyAlignment="1">
      <alignment horizontal="left" vertical="center"/>
    </xf>
    <xf numFmtId="0" fontId="64" fillId="0" borderId="23" xfId="0" applyFont="1" applyFill="1" applyBorder="1" applyAlignment="1">
      <alignment horizontal="left" vertical="center" wrapText="1"/>
    </xf>
    <xf numFmtId="0" fontId="64" fillId="0" borderId="15" xfId="0" applyFont="1" applyFill="1" applyBorder="1" applyAlignment="1">
      <alignment horizontal="left" vertical="center"/>
    </xf>
    <xf numFmtId="0" fontId="42" fillId="0" borderId="0" xfId="0" applyFont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64" fillId="0" borderId="21" xfId="0" applyFont="1" applyBorder="1" applyAlignment="1">
      <alignment horizontal="center" vertical="center" wrapText="1"/>
    </xf>
    <xf numFmtId="0" fontId="64" fillId="0" borderId="18" xfId="0" applyFont="1" applyBorder="1" applyAlignment="1">
      <alignment horizontal="center" vertical="center" wrapText="1"/>
    </xf>
    <xf numFmtId="0" fontId="64" fillId="0" borderId="22" xfId="0" applyFont="1" applyBorder="1" applyAlignment="1">
      <alignment horizontal="center" vertical="center" wrapText="1"/>
    </xf>
    <xf numFmtId="0" fontId="64" fillId="0" borderId="24" xfId="0" applyFont="1" applyBorder="1" applyAlignment="1">
      <alignment horizontal="center" vertical="center" wrapText="1"/>
    </xf>
    <xf numFmtId="0" fontId="64" fillId="0" borderId="14" xfId="0" applyFont="1" applyBorder="1" applyAlignment="1">
      <alignment horizontal="center" vertical="center" wrapText="1"/>
    </xf>
    <xf numFmtId="0" fontId="64" fillId="0" borderId="25" xfId="0" applyFont="1" applyBorder="1" applyAlignment="1">
      <alignment horizontal="center" vertical="center" wrapText="1"/>
    </xf>
    <xf numFmtId="0" fontId="64" fillId="0" borderId="21" xfId="0" applyFont="1" applyBorder="1" applyAlignment="1">
      <alignment horizontal="left" vertical="center" wrapText="1"/>
    </xf>
    <xf numFmtId="0" fontId="64" fillId="0" borderId="22" xfId="0" applyFont="1" applyBorder="1" applyAlignment="1">
      <alignment horizontal="left" vertical="center" wrapText="1"/>
    </xf>
    <xf numFmtId="0" fontId="64" fillId="0" borderId="30" xfId="0" applyFont="1" applyBorder="1" applyAlignment="1">
      <alignment horizontal="left" vertical="center" wrapText="1"/>
    </xf>
    <xf numFmtId="0" fontId="64" fillId="0" borderId="31" xfId="0" applyFont="1" applyBorder="1" applyAlignment="1">
      <alignment horizontal="left" vertical="center" wrapText="1"/>
    </xf>
    <xf numFmtId="0" fontId="64" fillId="0" borderId="24" xfId="0" applyFont="1" applyBorder="1" applyAlignment="1">
      <alignment horizontal="left" vertical="center" wrapText="1"/>
    </xf>
    <xf numFmtId="0" fontId="64" fillId="0" borderId="25" xfId="0" applyFont="1" applyBorder="1" applyAlignment="1">
      <alignment horizontal="left" vertical="center" wrapText="1"/>
    </xf>
    <xf numFmtId="0" fontId="64" fillId="0" borderId="19" xfId="0" applyFont="1" applyBorder="1" applyAlignment="1">
      <alignment horizontal="left" vertical="center"/>
    </xf>
    <xf numFmtId="0" fontId="64" fillId="0" borderId="15" xfId="0" applyFont="1" applyBorder="1" applyAlignment="1">
      <alignment horizontal="left" vertical="center"/>
    </xf>
    <xf numFmtId="0" fontId="64" fillId="0" borderId="20" xfId="0" applyFont="1" applyBorder="1" applyAlignment="1">
      <alignment horizontal="left" vertical="center"/>
    </xf>
    <xf numFmtId="0" fontId="31" fillId="0" borderId="19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73" fillId="0" borderId="11" xfId="0" applyFont="1" applyBorder="1" applyAlignment="1">
      <alignment horizontal="left" vertical="center" wrapText="1"/>
    </xf>
    <xf numFmtId="0" fontId="51" fillId="0" borderId="19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4" fillId="0" borderId="17" xfId="112" applyFont="1" applyBorder="1" applyAlignment="1">
      <alignment horizontal="center" vertical="center" wrapText="1"/>
    </xf>
    <xf numFmtId="0" fontId="54" fillId="0" borderId="16" xfId="112" applyFont="1" applyBorder="1" applyAlignment="1">
      <alignment horizontal="center" vertical="center" wrapText="1"/>
    </xf>
    <xf numFmtId="0" fontId="37" fillId="0" borderId="21" xfId="112" applyFont="1" applyBorder="1" applyAlignment="1">
      <alignment horizontal="center" vertical="center" wrapText="1"/>
    </xf>
    <xf numFmtId="0" fontId="37" fillId="0" borderId="22" xfId="112" applyFont="1" applyBorder="1" applyAlignment="1">
      <alignment horizontal="center" vertical="center" wrapText="1"/>
    </xf>
    <xf numFmtId="0" fontId="37" fillId="0" borderId="24" xfId="112" applyFont="1" applyBorder="1" applyAlignment="1">
      <alignment horizontal="center" vertical="center" wrapText="1"/>
    </xf>
    <xf numFmtId="0" fontId="37" fillId="0" borderId="25" xfId="112" applyFont="1" applyBorder="1" applyAlignment="1">
      <alignment horizontal="center" vertical="center" wrapText="1"/>
    </xf>
    <xf numFmtId="0" fontId="34" fillId="0" borderId="0" xfId="112" applyFont="1" applyAlignment="1">
      <alignment horizontal="center" vertical="center"/>
    </xf>
    <xf numFmtId="166" fontId="54" fillId="0" borderId="19" xfId="112" applyNumberFormat="1" applyFont="1" applyBorder="1" applyAlignment="1">
      <alignment horizontal="center"/>
    </xf>
    <xf numFmtId="166" fontId="54" fillId="0" borderId="20" xfId="112" applyNumberFormat="1" applyFont="1" applyBorder="1" applyAlignment="1">
      <alignment horizontal="center"/>
    </xf>
    <xf numFmtId="0" fontId="54" fillId="0" borderId="19" xfId="112" applyFont="1" applyBorder="1" applyAlignment="1">
      <alignment horizontal="center" vertical="center"/>
    </xf>
    <xf numFmtId="0" fontId="54" fillId="0" borderId="15" xfId="112" applyFont="1" applyBorder="1" applyAlignment="1">
      <alignment horizontal="center" vertical="center"/>
    </xf>
    <xf numFmtId="0" fontId="54" fillId="0" borderId="20" xfId="112" applyFont="1" applyBorder="1" applyAlignment="1">
      <alignment horizontal="center" vertical="center"/>
    </xf>
    <xf numFmtId="0" fontId="54" fillId="0" borderId="17" xfId="112" applyFont="1" applyBorder="1" applyAlignment="1">
      <alignment horizontal="center" vertical="center"/>
    </xf>
    <xf numFmtId="0" fontId="54" fillId="0" borderId="16" xfId="112" applyFont="1" applyBorder="1" applyAlignment="1">
      <alignment horizontal="center" vertical="center"/>
    </xf>
    <xf numFmtId="166" fontId="34" fillId="0" borderId="18" xfId="112" applyNumberFormat="1" applyFont="1" applyBorder="1" applyAlignment="1">
      <alignment horizontal="center"/>
    </xf>
    <xf numFmtId="166" fontId="54" fillId="0" borderId="19" xfId="112" applyNumberFormat="1" applyFont="1" applyBorder="1" applyAlignment="1">
      <alignment horizontal="center" vertical="center"/>
    </xf>
    <xf numFmtId="166" fontId="54" fillId="0" borderId="20" xfId="112" applyNumberFormat="1" applyFont="1" applyBorder="1" applyAlignment="1">
      <alignment horizontal="center" vertical="center"/>
    </xf>
    <xf numFmtId="0" fontId="54" fillId="0" borderId="23" xfId="112" applyFont="1" applyBorder="1" applyAlignment="1">
      <alignment horizontal="center" vertical="center" wrapText="1"/>
    </xf>
    <xf numFmtId="0" fontId="54" fillId="0" borderId="11" xfId="112" applyFont="1" applyBorder="1" applyAlignment="1">
      <alignment horizontal="center" vertical="center"/>
    </xf>
    <xf numFmtId="0" fontId="34" fillId="0" borderId="17" xfId="112" applyFont="1" applyBorder="1" applyAlignment="1">
      <alignment horizontal="center" vertical="center"/>
    </xf>
    <xf numFmtId="0" fontId="34" fillId="0" borderId="16" xfId="112" applyFont="1" applyBorder="1" applyAlignment="1">
      <alignment horizontal="center" vertical="center"/>
    </xf>
    <xf numFmtId="0" fontId="72" fillId="0" borderId="11" xfId="115" applyFont="1" applyBorder="1" applyAlignment="1">
      <alignment horizontal="center" vertical="center" wrapText="1"/>
    </xf>
    <xf numFmtId="0" fontId="34" fillId="0" borderId="0" xfId="115" applyFont="1" applyAlignment="1">
      <alignment horizontal="center" vertical="center" wrapText="1"/>
    </xf>
    <xf numFmtId="0" fontId="73" fillId="0" borderId="0" xfId="115" applyFont="1" applyAlignment="1">
      <alignment horizontal="center" vertical="center" wrapText="1"/>
    </xf>
    <xf numFmtId="0" fontId="74" fillId="0" borderId="11" xfId="115" applyFont="1" applyBorder="1" applyAlignment="1">
      <alignment wrapText="1"/>
    </xf>
  </cellXfs>
  <cellStyles count="125">
    <cellStyle name="20% - Accent1" xfId="2"/>
    <cellStyle name="20% - Accent2" xfId="3"/>
    <cellStyle name="20% - Accent3" xfId="4"/>
    <cellStyle name="20% - Accent4" xfId="5"/>
    <cellStyle name="20% - Accent5" xfId="6"/>
    <cellStyle name="20% - Accent6" xfId="7"/>
    <cellStyle name="40% - Accent1" xfId="8"/>
    <cellStyle name="40% - Accent2" xfId="9"/>
    <cellStyle name="40% - Accent3" xfId="10"/>
    <cellStyle name="40% - Accent4" xfId="11"/>
    <cellStyle name="40% - Accent5" xfId="12"/>
    <cellStyle name="40% - Accent6" xfId="13"/>
    <cellStyle name="60% - Accent1" xfId="14"/>
    <cellStyle name="60% - Accent2" xfId="15"/>
    <cellStyle name="60% - Accent3" xfId="16"/>
    <cellStyle name="60% - Accent4" xfId="17"/>
    <cellStyle name="60% - Accent5" xfId="18"/>
    <cellStyle name="60% - Accent6" xfId="19"/>
    <cellStyle name="Accent1" xfId="20"/>
    <cellStyle name="Accent1 - 20%" xfId="21"/>
    <cellStyle name="Accent1 - 40%" xfId="22"/>
    <cellStyle name="Accent1 - 60%" xfId="23"/>
    <cellStyle name="Accent2" xfId="24"/>
    <cellStyle name="Accent2 - 20%" xfId="25"/>
    <cellStyle name="Accent2 - 40%" xfId="26"/>
    <cellStyle name="Accent2 - 60%" xfId="27"/>
    <cellStyle name="Accent3" xfId="28"/>
    <cellStyle name="Accent3 - 20%" xfId="29"/>
    <cellStyle name="Accent3 - 40%" xfId="30"/>
    <cellStyle name="Accent3 - 60%" xfId="31"/>
    <cellStyle name="Accent4" xfId="32"/>
    <cellStyle name="Accent4 - 20%" xfId="33"/>
    <cellStyle name="Accent4 - 40%" xfId="34"/>
    <cellStyle name="Accent4 - 60%" xfId="35"/>
    <cellStyle name="Accent5" xfId="36"/>
    <cellStyle name="Accent5 - 20%" xfId="37"/>
    <cellStyle name="Accent5 - 40%" xfId="38"/>
    <cellStyle name="Accent5 - 60%" xfId="39"/>
    <cellStyle name="Accent6" xfId="40"/>
    <cellStyle name="Accent6 - 20%" xfId="41"/>
    <cellStyle name="Accent6 - 40%" xfId="42"/>
    <cellStyle name="Accent6 - 60%" xfId="43"/>
    <cellStyle name="Bad" xfId="44"/>
    <cellStyle name="Calculation" xfId="45"/>
    <cellStyle name="Check Cell" xfId="46"/>
    <cellStyle name="Emphasis 1" xfId="47"/>
    <cellStyle name="Emphasis 2" xfId="48"/>
    <cellStyle name="Emphasis 3" xfId="49"/>
    <cellStyle name="Explanatory Text" xfId="50"/>
    <cellStyle name="Good" xfId="51"/>
    <cellStyle name="Heading 1" xfId="52"/>
    <cellStyle name="Heading 2" xfId="53"/>
    <cellStyle name="Heading 3" xfId="54"/>
    <cellStyle name="Heading 4" xfId="55"/>
    <cellStyle name="Hipersaitas" xfId="116" builtinId="8"/>
    <cellStyle name="Input" xfId="56"/>
    <cellStyle name="Įprastas" xfId="0" builtinId="0"/>
    <cellStyle name="Įprastas 2" xfId="1"/>
    <cellStyle name="Įprastas 2 2" xfId="115"/>
    <cellStyle name="Įprastas 3" xfId="112"/>
    <cellStyle name="Įprastas 4" xfId="124"/>
    <cellStyle name="Linked Cell" xfId="57"/>
    <cellStyle name="Neutral" xfId="58"/>
    <cellStyle name="Normal_____3lentelė - 2,3,4 lapai_3_variantas" xfId="113"/>
    <cellStyle name="Normal_15 balanso lentelė " xfId="59"/>
    <cellStyle name="Normal_91-2000m. ln dienu diagrama" xfId="121"/>
    <cellStyle name="Normal_96Laid.Vaik.P (2)_1 2" xfId="122"/>
    <cellStyle name="Normal_DOUM_KETV" xfId="118"/>
    <cellStyle name="Normal_Duomenys" xfId="110"/>
    <cellStyle name="Normal_FORMAS_1_PENSIJA" xfId="119"/>
    <cellStyle name="Normal_papildoma lentelė" xfId="111"/>
    <cellStyle name="Normal_PASKAITAI" xfId="120"/>
    <cellStyle name="Normal_Sheet3" xfId="123"/>
    <cellStyle name="Normal_skaires_komitetui" xfId="117"/>
    <cellStyle name="Note" xfId="60"/>
    <cellStyle name="Output" xfId="61"/>
    <cellStyle name="Paprastas_10 lentelė-2007_VIS" xfId="62"/>
    <cellStyle name="Paprastas_Apdraust27 2" xfId="114"/>
    <cellStyle name="Procentai 2" xfId="63"/>
    <cellStyle name="SAPBEXaggData" xfId="64"/>
    <cellStyle name="SAPBEXaggDataEmph" xfId="65"/>
    <cellStyle name="SAPBEXaggItem" xfId="66"/>
    <cellStyle name="SAPBEXaggItemX" xfId="67"/>
    <cellStyle name="SAPBEXchaText" xfId="68"/>
    <cellStyle name="SAPBEXexcBad7" xfId="69"/>
    <cellStyle name="SAPBEXexcBad8" xfId="70"/>
    <cellStyle name="SAPBEXexcBad9" xfId="71"/>
    <cellStyle name="SAPBEXexcCritical4" xfId="72"/>
    <cellStyle name="SAPBEXexcCritical5" xfId="73"/>
    <cellStyle name="SAPBEXexcCritical6" xfId="74"/>
    <cellStyle name="SAPBEXexcGood1" xfId="75"/>
    <cellStyle name="SAPBEXexcGood2" xfId="76"/>
    <cellStyle name="SAPBEXexcGood3" xfId="77"/>
    <cellStyle name="SAPBEXfilterDrill" xfId="78"/>
    <cellStyle name="SAPBEXfilterItem" xfId="79"/>
    <cellStyle name="SAPBEXfilterText" xfId="80"/>
    <cellStyle name="SAPBEXformats" xfId="81"/>
    <cellStyle name="SAPBEXheaderItem" xfId="82"/>
    <cellStyle name="SAPBEXheaderText" xfId="83"/>
    <cellStyle name="SAPBEXHLevel0" xfId="84"/>
    <cellStyle name="SAPBEXHLevel0X" xfId="85"/>
    <cellStyle name="SAPBEXHLevel1" xfId="86"/>
    <cellStyle name="SAPBEXHLevel1X" xfId="87"/>
    <cellStyle name="SAPBEXHLevel2" xfId="88"/>
    <cellStyle name="SAPBEXHLevel2X" xfId="89"/>
    <cellStyle name="SAPBEXHLevel3" xfId="90"/>
    <cellStyle name="SAPBEXHLevel3X" xfId="91"/>
    <cellStyle name="SAPBEXinputData" xfId="92"/>
    <cellStyle name="SAPBEXresData" xfId="93"/>
    <cellStyle name="SAPBEXresDataEmph" xfId="94"/>
    <cellStyle name="SAPBEXresItem" xfId="95"/>
    <cellStyle name="SAPBEXresItemX" xfId="96"/>
    <cellStyle name="SAPBEXstdData" xfId="97"/>
    <cellStyle name="SAPBEXstdDataEmph" xfId="98"/>
    <cellStyle name="SAPBEXstdItem" xfId="99"/>
    <cellStyle name="SAPBEXstdItemX" xfId="100"/>
    <cellStyle name="SAPBEXtitle" xfId="101"/>
    <cellStyle name="SAPBEXundefined" xfId="102"/>
    <cellStyle name="Sheet Title" xfId="103"/>
    <cellStyle name="Title" xfId="104"/>
    <cellStyle name="Total" xfId="105"/>
    <cellStyle name="Warning Text" xfId="106"/>
    <cellStyle name="Z_LTL" xfId="107"/>
    <cellStyle name="Z_SEM-BPS-key" xfId="108"/>
    <cellStyle name="Z-SEM-BPS-key(2dp)" xfId="109"/>
  </cellStyles>
  <dxfs count="0"/>
  <tableStyles count="0" defaultTableStyle="TableStyleMedium2" defaultPivotStyle="PivotStyleMedium9"/>
  <colors>
    <mruColors>
      <color rgb="FF4D7D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externalLink" Target="externalLinks/externalLink6.xml"/><Relationship Id="rId50" Type="http://schemas.openxmlformats.org/officeDocument/2006/relationships/externalLink" Target="externalLinks/externalLink9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4.xml"/><Relationship Id="rId53" Type="http://schemas.openxmlformats.org/officeDocument/2006/relationships/externalLink" Target="externalLinks/externalLink1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8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3.xml"/><Relationship Id="rId52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externalLink" Target="externalLinks/externalLink7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0.xml"/><Relationship Id="rId3" Type="http://schemas.openxmlformats.org/officeDocument/2006/relationships/worksheet" Target="worksheets/sheet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Draud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ėjų</a:t>
            </a:r>
            <a:r>
              <a:rPr lang="lt-LT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pasiskirstymas 201</a:t>
            </a:r>
            <a:r>
              <a:rPr lang="en-US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lt-LT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m. </a:t>
            </a:r>
          </a:p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(IV ketvirtyje)</a:t>
            </a:r>
            <a:endParaRPr lang="lt-LT" sz="12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8819511835591539E-2"/>
          <c:y val="0.13803921568627453"/>
          <c:w val="0.87829957292779903"/>
          <c:h val="0.6638619731357109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dPt>
            <c:idx val="6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tx1"/>
                </a:solidFill>
              </a:ln>
            </c:spPr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[6]Grafikai!$A$4:$A$10</c:f>
              <c:strCache>
                <c:ptCount val="7"/>
                <c:pt idx="0">
                  <c:v>Uždarosios akcinės bendrovės</c:v>
                </c:pt>
                <c:pt idx="1">
                  <c:v>Individualios įmonės</c:v>
                </c:pt>
                <c:pt idx="2">
                  <c:v>Asmenys, įsigiję verslo liudijimus</c:v>
                </c:pt>
                <c:pt idx="3">
                  <c:v>Ūkininkai ir jų partneriai</c:v>
                </c:pt>
                <c:pt idx="4">
                  <c:v>Biudžetinės įstaigos</c:v>
                </c:pt>
                <c:pt idx="5">
                  <c:v>Kiti draudėjai</c:v>
                </c:pt>
                <c:pt idx="6">
                  <c:v>Iš viso</c:v>
                </c:pt>
              </c:strCache>
            </c:strRef>
          </c:cat>
          <c:val>
            <c:numRef>
              <c:f>[6]Grafikai!$B$4:$B$10</c:f>
              <c:numCache>
                <c:formatCode>General</c:formatCode>
                <c:ptCount val="7"/>
                <c:pt idx="0">
                  <c:v>119621</c:v>
                </c:pt>
                <c:pt idx="1">
                  <c:v>48390</c:v>
                </c:pt>
                <c:pt idx="2">
                  <c:v>61091</c:v>
                </c:pt>
                <c:pt idx="3">
                  <c:v>19793</c:v>
                </c:pt>
                <c:pt idx="4">
                  <c:v>3401</c:v>
                </c:pt>
                <c:pt idx="5">
                  <c:v>150110</c:v>
                </c:pt>
                <c:pt idx="6">
                  <c:v>402406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35562936"/>
        <c:axId val="135563328"/>
      </c:barChart>
      <c:catAx>
        <c:axId val="135562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000"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135563328"/>
        <c:crosses val="autoZero"/>
        <c:auto val="1"/>
        <c:lblAlgn val="ctr"/>
        <c:lblOffset val="100"/>
        <c:noMultiLvlLbl val="0"/>
      </c:catAx>
      <c:valAx>
        <c:axId val="13556332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1355629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lt-LT" sz="1200"/>
              <a:t>Draudėjų struktūra 201</a:t>
            </a:r>
            <a:r>
              <a:rPr lang="en-US" sz="1200"/>
              <a:t>5</a:t>
            </a:r>
            <a:r>
              <a:rPr lang="lt-LT" sz="1200"/>
              <a:t> m.</a:t>
            </a:r>
          </a:p>
          <a:p>
            <a:pPr>
              <a:defRPr sz="1200"/>
            </a:pPr>
            <a:r>
              <a:rPr lang="lt-LT" sz="1200"/>
              <a:t>(IV ketvirtyje)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3271730649162955"/>
          <c:y val="0.26919301334982015"/>
          <c:w val="0.36361111111111111"/>
          <c:h val="0.60601851851851851"/>
        </c:manualLayout>
      </c:layout>
      <c:pieChart>
        <c:varyColors val="1"/>
        <c:ser>
          <c:idx val="0"/>
          <c:order val="0"/>
          <c:spPr>
            <a:ln>
              <a:solidFill>
                <a:schemeClr val="tx1"/>
              </a:solidFill>
            </a:ln>
          </c:spPr>
          <c:explosion val="2"/>
          <c:dPt>
            <c:idx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2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5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dLbls>
            <c:dLbl>
              <c:idx val="0"/>
              <c:layout>
                <c:manualLayout>
                  <c:x val="6.2261592300962378E-2"/>
                  <c:y val="0.10832534071333463"/>
                </c:manualLayout>
              </c:layout>
              <c:tx>
                <c:rich>
                  <a:bodyPr/>
                  <a:lstStyle/>
                  <a:p>
                    <a:r>
                      <a:rPr lang="lt-LT" b="1"/>
                      <a:t>Uždarosios akcinės bendrovės
29,7 (60,4)</a:t>
                    </a:r>
                    <a:endParaRPr lang="lt-LT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5.3751093613298336E-2"/>
                  <c:y val="-1.2638944331178452E-2"/>
                </c:manualLayout>
              </c:layout>
              <c:tx>
                <c:rich>
                  <a:bodyPr/>
                  <a:lstStyle/>
                  <a:p>
                    <a:r>
                      <a:rPr lang="lt-LT" b="1"/>
                      <a:t>Individualios įmonės
12 (2,9)</a:t>
                    </a:r>
                    <a:endParaRPr lang="lt-LT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b="1"/>
                      <a:t>Asmenys, įsigiję verslo liudijimus
15,2 (0,0)</a:t>
                    </a:r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6.7124453193350836E-2"/>
                  <c:y val="3.1104575618668973E-2"/>
                </c:manualLayout>
              </c:layout>
              <c:tx>
                <c:rich>
                  <a:bodyPr/>
                  <a:lstStyle/>
                  <a:p>
                    <a:r>
                      <a:rPr lang="lt-LT" b="1"/>
                      <a:t>Ūkininkai ir jų partneriai
4,9 (1,1)</a:t>
                    </a:r>
                    <a:endParaRPr lang="lt-LT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6.2367672790901135E-2"/>
                  <c:y val="-0.11453748181567322"/>
                </c:manualLayout>
              </c:layout>
              <c:tx>
                <c:rich>
                  <a:bodyPr/>
                  <a:lstStyle/>
                  <a:p>
                    <a:r>
                      <a:rPr lang="lt-LT" b="1"/>
                      <a:t>Biudžetinės įstaigos
0,8 (14,7)</a:t>
                    </a:r>
                    <a:endParaRPr lang="lt-LT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4.5286526684164483E-3"/>
                  <c:y val="-9.6482939632545936E-2"/>
                </c:manualLayout>
              </c:layout>
              <c:tx>
                <c:rich>
                  <a:bodyPr/>
                  <a:lstStyle/>
                  <a:p>
                    <a:r>
                      <a:rPr lang="lt-LT" b="1"/>
                      <a:t>Kiti draudėjai
37,3</a:t>
                    </a:r>
                    <a:r>
                      <a:rPr lang="lt-LT" b="1" baseline="0"/>
                      <a:t> (20,9)</a:t>
                    </a:r>
                    <a:endParaRPr lang="lt-LT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[6]Grafikai!$A$24:$A$29</c:f>
              <c:strCache>
                <c:ptCount val="6"/>
                <c:pt idx="0">
                  <c:v>Uždarosios akcinės bendrovės</c:v>
                </c:pt>
                <c:pt idx="1">
                  <c:v>Individualios įmonės</c:v>
                </c:pt>
                <c:pt idx="2">
                  <c:v>Asmenys, įsigiję verslo liudijimus</c:v>
                </c:pt>
                <c:pt idx="3">
                  <c:v>Ūkininkai ir jų partneriai</c:v>
                </c:pt>
                <c:pt idx="4">
                  <c:v>Biudžetinės įstaigos</c:v>
                </c:pt>
                <c:pt idx="5">
                  <c:v>Kiti draudėjai</c:v>
                </c:pt>
              </c:strCache>
            </c:strRef>
          </c:cat>
          <c:val>
            <c:numRef>
              <c:f>[6]Grafikai!$B$24:$B$29</c:f>
              <c:numCache>
                <c:formatCode>General</c:formatCode>
                <c:ptCount val="6"/>
                <c:pt idx="0">
                  <c:v>0.29726445430734133</c:v>
                </c:pt>
                <c:pt idx="1">
                  <c:v>0.12025168610806002</c:v>
                </c:pt>
                <c:pt idx="2">
                  <c:v>0.15181433676436237</c:v>
                </c:pt>
                <c:pt idx="3">
                  <c:v>4.9186642346287085E-2</c:v>
                </c:pt>
                <c:pt idx="4">
                  <c:v>8.4516632455778496E-3</c:v>
                </c:pt>
                <c:pt idx="5">
                  <c:v>0.37303121722837135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lt-LT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 sz="1200"/>
              <a:t>Statistikos departamento paskelbtos šalies vidutinio mėn. darbo užmokesčio ir apdraustųjų valstybiniu socialiniu draudimu vidutinių mėn. pajamų, nuo kurių skaičiuojamos įmokos, santykis,</a:t>
            </a:r>
            <a:r>
              <a:rPr lang="lt-LT" sz="1200" baseline="0"/>
              <a:t> proc.</a:t>
            </a:r>
          </a:p>
          <a:p>
            <a:pPr>
              <a:defRPr sz="11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 sz="1200"/>
              <a:t>  2010 - 2015 m. </a:t>
            </a:r>
          </a:p>
        </c:rich>
      </c:tx>
      <c:layout>
        <c:manualLayout>
          <c:xMode val="edge"/>
          <c:yMode val="edge"/>
          <c:x val="0.1485112878188414"/>
          <c:y val="2.16253686152336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367194841385545E-2"/>
          <c:y val="0.18095483024299383"/>
          <c:w val="0.82915200414762968"/>
          <c:h val="0.6004699009398019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[7]Sheet5!$S$1</c:f>
              <c:strCache>
                <c:ptCount val="1"/>
                <c:pt idx="0">
                  <c:v>Statistikos departamento paskelbtas šalies vidutinis mėn. darbo užmokestis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12700">
              <a:solidFill>
                <a:schemeClr val="tx1"/>
              </a:solidFill>
              <a:prstDash val="solid"/>
            </a:ln>
          </c:spPr>
          <c:invertIfNegative val="0"/>
          <c:dLbls>
            <c:dLbl>
              <c:idx val="4"/>
              <c:layout>
                <c:manualLayout>
                  <c:x val="1.8230128641327241E-3"/>
                  <c:y val="9.108458216916434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5.6495252908201287E-4"/>
                  <c:y val="9.994073321479975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##,00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[7]Sheet5!$R$13:$R$18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[7]Sheet5!$S$13:$S$18</c:f>
              <c:numCache>
                <c:formatCode>General</c:formatCode>
                <c:ptCount val="6"/>
                <c:pt idx="0">
                  <c:v>575.7935588507878</c:v>
                </c:pt>
                <c:pt idx="1">
                  <c:v>592.5335959221502</c:v>
                </c:pt>
                <c:pt idx="2">
                  <c:v>615.09499536607973</c:v>
                </c:pt>
                <c:pt idx="3">
                  <c:v>646.28707136237256</c:v>
                </c:pt>
                <c:pt idx="4">
                  <c:v>676.40755329008346</c:v>
                </c:pt>
                <c:pt idx="5">
                  <c:v>712.2</c:v>
                </c:pt>
              </c:numCache>
            </c:numRef>
          </c:val>
        </c:ser>
        <c:ser>
          <c:idx val="0"/>
          <c:order val="1"/>
          <c:tx>
            <c:strRef>
              <c:f>[7]Sheet5!$T$1</c:f>
              <c:strCache>
                <c:ptCount val="1"/>
                <c:pt idx="0">
                  <c:v>Apdraustųjų  vidutinės mėnesio pajamos, nuo kurių skaičiuojamos įmokos</c:v>
                </c:pt>
              </c:strCache>
            </c:strRef>
          </c:tx>
          <c:spPr>
            <a:noFill/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4999999999999999E-2"/>
                  <c:y val="-1.407162814325579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8119147143644043E-2"/>
                  <c:y val="-2.693887054440775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1.4135062177290819E-2"/>
                  <c:y val="-3.356002986849779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6127150772819988E-2"/>
                  <c:y val="-1.474049614765945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4999999999999999E-2"/>
                  <c:y val="4.099991533316399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1.5262143158031172E-2"/>
                  <c:y val="-9.7642028617395495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##,00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r"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[7]Sheet5!$R$13:$R$18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[7]Sheet5!$T$13:$T$18</c:f>
              <c:numCache>
                <c:formatCode>General</c:formatCode>
                <c:ptCount val="6"/>
                <c:pt idx="0">
                  <c:v>496.00034754402225</c:v>
                </c:pt>
                <c:pt idx="1">
                  <c:v>507.26946246524562</c:v>
                </c:pt>
                <c:pt idx="2">
                  <c:v>518.15917516218724</c:v>
                </c:pt>
                <c:pt idx="3">
                  <c:v>550.39388322520858</c:v>
                </c:pt>
                <c:pt idx="4">
                  <c:v>574.577154772938</c:v>
                </c:pt>
                <c:pt idx="5">
                  <c:v>608.5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756128"/>
        <c:axId val="270756520"/>
      </c:barChart>
      <c:lineChart>
        <c:grouping val="standard"/>
        <c:varyColors val="0"/>
        <c:ser>
          <c:idx val="2"/>
          <c:order val="2"/>
          <c:tx>
            <c:strRef>
              <c:f>[7]Sheet5!$U$1</c:f>
              <c:strCache>
                <c:ptCount val="1"/>
                <c:pt idx="0">
                  <c:v>Santykis (%)</c:v>
                </c:pt>
              </c:strCache>
            </c:strRef>
          </c:tx>
          <c:spPr>
            <a:ln w="12700">
              <a:solidFill>
                <a:schemeClr val="tx1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00"/>
              </a:solidFill>
              <a:ln>
                <a:solidFill>
                  <a:schemeClr val="tx1"/>
                </a:solidFill>
                <a:prstDash val="solid"/>
              </a:ln>
            </c:spPr>
          </c:marker>
          <c:dLbls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r"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[7]Sheet5!$R$13:$R$18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[7]Sheet5!$U$13:$U$18</c:f>
              <c:numCache>
                <c:formatCode>General</c:formatCode>
                <c:ptCount val="6"/>
                <c:pt idx="0">
                  <c:v>86.14204516875408</c:v>
                </c:pt>
                <c:pt idx="1">
                  <c:v>85.610244880003904</c:v>
                </c:pt>
                <c:pt idx="2">
                  <c:v>84.240512289292781</c:v>
                </c:pt>
                <c:pt idx="3">
                  <c:v>85.162446784673989</c:v>
                </c:pt>
                <c:pt idx="4">
                  <c:v>84.94540783558125</c:v>
                </c:pt>
                <c:pt idx="5">
                  <c:v>85.439483291210323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0756912"/>
        <c:axId val="270757304"/>
      </c:lineChart>
      <c:catAx>
        <c:axId val="270756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Arial"/>
                <a:cs typeface="Times New Roman" panose="02020603050405020304" pitchFamily="18" charset="0"/>
              </a:defRPr>
            </a:pPr>
            <a:endParaRPr lang="lt-LT"/>
          </a:p>
        </c:txPr>
        <c:crossAx val="2707565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70756520"/>
        <c:scaling>
          <c:orientation val="minMax"/>
          <c:max val="90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lt-LT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Eurai</a:t>
                </a:r>
              </a:p>
            </c:rich>
          </c:tx>
          <c:layout>
            <c:manualLayout>
              <c:xMode val="edge"/>
              <c:yMode val="edge"/>
              <c:x val="5.0014581510644503E-3"/>
              <c:y val="0.434327321987977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Arial"/>
                <a:cs typeface="Times New Roman" panose="02020603050405020304" pitchFamily="18" charset="0"/>
              </a:defRPr>
            </a:pPr>
            <a:endParaRPr lang="lt-LT"/>
          </a:p>
        </c:txPr>
        <c:crossAx val="270756128"/>
        <c:crosses val="autoZero"/>
        <c:crossBetween val="between"/>
        <c:majorUnit val="400"/>
      </c:valAx>
      <c:catAx>
        <c:axId val="270756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70757304"/>
        <c:crossesAt val="40"/>
        <c:auto val="0"/>
        <c:lblAlgn val="ctr"/>
        <c:lblOffset val="100"/>
        <c:noMultiLvlLbl val="0"/>
      </c:catAx>
      <c:valAx>
        <c:axId val="270757304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lt-LT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0.96179757622889728"/>
              <c:y val="0.3884154601642537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Arial"/>
                <a:cs typeface="Times New Roman" panose="02020603050405020304" pitchFamily="18" charset="0"/>
              </a:defRPr>
            </a:pPr>
            <a:endParaRPr lang="lt-LT"/>
          </a:p>
        </c:txPr>
        <c:crossAx val="270756912"/>
        <c:crosses val="max"/>
        <c:crossBetween val="between"/>
        <c:majorUnit val="1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</c:legendEntry>
      <c:layout>
        <c:manualLayout>
          <c:xMode val="edge"/>
          <c:yMode val="edge"/>
          <c:x val="1.9029843491785745E-2"/>
          <c:y val="0.8661823723647446"/>
          <c:w val="0.95219046693237419"/>
          <c:h val="0.10527834222335111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ea typeface="TimesLT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lt-LT"/>
    </a:p>
  </c:txPr>
  <c:printSettings>
    <c:headerFooter alignWithMargins="0"/>
    <c:pageMargins b="1" l="0.75" r="0.75" t="1" header="0" footer="0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Darbingo amžiaus gyventojai  ir 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privalomuoju 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valstybiniu socialiniu draudimu apdrausti asmenys 20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10 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-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201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m.</a:t>
            </a:r>
          </a:p>
        </c:rich>
      </c:tx>
      <c:layout>
        <c:manualLayout>
          <c:xMode val="edge"/>
          <c:yMode val="edge"/>
          <c:x val="0.13913926075285971"/>
          <c:y val="2.67459270293915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2447911603642144E-2"/>
          <c:y val="0.16621441878480839"/>
          <c:w val="0.83174702699199632"/>
          <c:h val="0.668564031009313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[7]Sheet10!$A$3</c:f>
              <c:strCache>
                <c:ptCount val="1"/>
                <c:pt idx="0">
                  <c:v>Darbingo amžiaus gyventojai 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12700">
              <a:solidFill>
                <a:schemeClr val="tx1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1.0300740271243185E-2"/>
                  <c:y val="7.1301032191094091E-3"/>
                </c:manualLayout>
              </c:layout>
              <c:tx>
                <c:rich>
                  <a:bodyPr/>
                  <a:lstStyle/>
                  <a:p>
                    <a:r>
                      <a:rPr lang="en-US" sz="1000" b="1"/>
                      <a:t>1963,7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sz="1000" b="1"/>
                      <a:t>1890,4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8.417510649145166E-3"/>
                </c:manualLayout>
              </c:layout>
              <c:tx>
                <c:rich>
                  <a:bodyPr/>
                  <a:lstStyle/>
                  <a:p>
                    <a:r>
                      <a:rPr lang="en-US" sz="1000" b="1"/>
                      <a:t>1850,7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9.2592592592592587E-3"/>
                </c:manualLayout>
              </c:layout>
              <c:tx>
                <c:rich>
                  <a:bodyPr/>
                  <a:lstStyle/>
                  <a:p>
                    <a:r>
                      <a:rPr lang="en-US" sz="1000" b="1"/>
                      <a:t>1834,0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 sz="1000" b="1"/>
                      <a:t>1820,5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 sz="1000" b="1"/>
                      <a:t>1810,9</a:t>
                    </a:r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[7]Sheet10!$Q$2:$V$2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[7]Sheet10!$Q$3:$V$3</c:f>
              <c:numCache>
                <c:formatCode>General</c:formatCode>
                <c:ptCount val="6"/>
                <c:pt idx="0">
                  <c:v>1963.7</c:v>
                </c:pt>
                <c:pt idx="1">
                  <c:v>1890.4</c:v>
                </c:pt>
                <c:pt idx="2">
                  <c:v>1850.7</c:v>
                </c:pt>
                <c:pt idx="3">
                  <c:v>1834</c:v>
                </c:pt>
                <c:pt idx="4">
                  <c:v>1820.5</c:v>
                </c:pt>
                <c:pt idx="5">
                  <c:v>1810.9</c:v>
                </c:pt>
              </c:numCache>
            </c:numRef>
          </c:val>
        </c:ser>
        <c:ser>
          <c:idx val="2"/>
          <c:order val="1"/>
          <c:tx>
            <c:strRef>
              <c:f>[7]Sheet10!$A$4</c:f>
              <c:strCache>
                <c:ptCount val="1"/>
                <c:pt idx="0">
                  <c:v>VSD apdrausti asmenys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4737046758044114E-2"/>
                  <c:y val="3.650415878049818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5626842940928642E-2"/>
                  <c:y val="3.319813176333724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1.4903924046531146E-2"/>
                  <c:y val="6.362312458525532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5737824438611839E-2"/>
                  <c:y val="3.2678499609878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02352483717163E-2"/>
                  <c:y val="8.489622866359888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1.2123229966624542E-2"/>
                  <c:y val="3.120178986764960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#,#0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r"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[7]Sheet10!$Q$2:$V$2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[7]Sheet10!$Q$4:$V$4</c:f>
              <c:numCache>
                <c:formatCode>General</c:formatCode>
                <c:ptCount val="6"/>
                <c:pt idx="0">
                  <c:v>1251.8</c:v>
                </c:pt>
                <c:pt idx="1">
                  <c:v>1303.8</c:v>
                </c:pt>
                <c:pt idx="2">
                  <c:v>1341.7</c:v>
                </c:pt>
                <c:pt idx="3">
                  <c:v>1346.5</c:v>
                </c:pt>
                <c:pt idx="4">
                  <c:v>1375.8</c:v>
                </c:pt>
                <c:pt idx="5">
                  <c:v>1404.9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0757696"/>
        <c:axId val="270758088"/>
      </c:barChart>
      <c:lineChart>
        <c:grouping val="standard"/>
        <c:varyColors val="0"/>
        <c:ser>
          <c:idx val="0"/>
          <c:order val="2"/>
          <c:tx>
            <c:strRef>
              <c:f>[7]Sheet10!$A$5</c:f>
              <c:strCache>
                <c:ptCount val="1"/>
                <c:pt idx="0">
                  <c:v>Santykis %</c:v>
                </c:pt>
              </c:strCache>
            </c:strRef>
          </c:tx>
          <c:spPr>
            <a:ln w="12700">
              <a:solidFill>
                <a:schemeClr val="tx1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chemeClr val="tx1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3179093354071466E-2"/>
                  <c:y val="-3.8313061935115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2.8806584362139918E-2"/>
                  <c:y val="-3.3262555545628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3.7294319691520042E-2"/>
                  <c:y val="-3.49460484106153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 algn="l"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[7]Sheet10!$Q$2:$V$2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[7]Sheet10!$Q$5:$V$5</c:f>
              <c:numCache>
                <c:formatCode>General</c:formatCode>
                <c:ptCount val="6"/>
                <c:pt idx="0">
                  <c:v>63.7</c:v>
                </c:pt>
                <c:pt idx="1">
                  <c:v>69</c:v>
                </c:pt>
                <c:pt idx="2">
                  <c:v>72.5</c:v>
                </c:pt>
                <c:pt idx="3">
                  <c:v>73.400000000000006</c:v>
                </c:pt>
                <c:pt idx="4">
                  <c:v>75.599999999999994</c:v>
                </c:pt>
                <c:pt idx="5">
                  <c:v>77.599999999999994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0758480"/>
        <c:axId val="270758872"/>
      </c:lineChart>
      <c:catAx>
        <c:axId val="270757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HelveticaLT"/>
                <a:cs typeface="Times New Roman" panose="02020603050405020304" pitchFamily="18" charset="0"/>
              </a:defRPr>
            </a:pPr>
            <a:endParaRPr lang="lt-LT"/>
          </a:p>
        </c:txPr>
        <c:crossAx val="2707580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70758088"/>
        <c:scaling>
          <c:orientation val="minMax"/>
          <c:max val="300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lt-LT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Tūkst.žm.</a:t>
                </a:r>
              </a:p>
            </c:rich>
          </c:tx>
          <c:layout>
            <c:manualLayout>
              <c:xMode val="edge"/>
              <c:yMode val="edge"/>
              <c:x val="1.9009429376883446E-3"/>
              <c:y val="0.35850058551408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HelveticaLT"/>
                <a:cs typeface="Times New Roman" panose="02020603050405020304" pitchFamily="18" charset="0"/>
              </a:defRPr>
            </a:pPr>
            <a:endParaRPr lang="lt-LT"/>
          </a:p>
        </c:txPr>
        <c:crossAx val="270757696"/>
        <c:crosses val="autoZero"/>
        <c:crossBetween val="between"/>
      </c:valAx>
      <c:catAx>
        <c:axId val="270758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70758872"/>
        <c:crossesAt val="0"/>
        <c:auto val="0"/>
        <c:lblAlgn val="ctr"/>
        <c:lblOffset val="100"/>
        <c:noMultiLvlLbl val="0"/>
      </c:catAx>
      <c:valAx>
        <c:axId val="270758872"/>
        <c:scaling>
          <c:orientation val="minMax"/>
          <c:max val="9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HelveticaLT"/>
                    <a:cs typeface="Times New Roman" panose="02020603050405020304" pitchFamily="18" charset="0"/>
                  </a:defRPr>
                </a:pPr>
                <a:r>
                  <a:rPr lang="lt-LT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0.96541071254982014"/>
              <c:y val="0.3727668741925486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HelveticaLT"/>
                <a:cs typeface="Times New Roman" panose="02020603050405020304" pitchFamily="18" charset="0"/>
              </a:defRPr>
            </a:pPr>
            <a:endParaRPr lang="lt-LT"/>
          </a:p>
        </c:txPr>
        <c:crossAx val="270758480"/>
        <c:crosses val="max"/>
        <c:crossBetween val="between"/>
        <c:majorUnit val="15"/>
        <c:minorUnit val="1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"/>
          <c:y val="0.9092609604355012"/>
          <c:w val="0.96969265415897088"/>
          <c:h val="7.132240902319642E-2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ea typeface="TimesLT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HelveticaLT"/>
          <a:ea typeface="HelveticaLT"/>
          <a:cs typeface="HelveticaLT"/>
        </a:defRPr>
      </a:pPr>
      <a:endParaRPr lang="lt-LT"/>
    </a:p>
  </c:txPr>
  <c:printSettings>
    <c:headerFooter alignWithMargins="0"/>
    <c:pageMargins b="0.61" l="0.75" r="0.75" t="0.61" header="0.5" footer="0.5"/>
    <c:pageSetup paperSize="9" orientation="landscape" horizontalDpi="-4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lt-LT" sz="1200" b="1"/>
              <a:t>VSD įmokų tarifas atskiroms draudimo rūšims 
2015 m. (Patvirtintas) </a:t>
            </a:r>
            <a:r>
              <a:rPr lang="lt-LT" sz="1200"/>
              <a:t>
31%</a:t>
            </a:r>
            <a:r>
              <a:rPr lang="en-US" sz="1200"/>
              <a:t>  </a:t>
            </a:r>
            <a:r>
              <a:rPr lang="lt-LT" sz="1200"/>
              <a:t>(+9% sveikatos draudimo įmokų surinkimas)</a:t>
            </a:r>
          </a:p>
        </c:rich>
      </c:tx>
      <c:layout>
        <c:manualLayout>
          <c:xMode val="edge"/>
          <c:yMode val="edge"/>
          <c:x val="0.22993056657477573"/>
          <c:y val="1.468462427598009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2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9314285714285714"/>
          <c:y val="0.35641921289327499"/>
          <c:w val="0.55885714285714283"/>
          <c:h val="0.32939216357435369"/>
        </c:manualLayout>
      </c:layout>
      <c:pie3DChart>
        <c:varyColors val="1"/>
        <c:ser>
          <c:idx val="0"/>
          <c:order val="0"/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22"/>
          <c:dPt>
            <c:idx val="0"/>
            <c:bubble3D val="0"/>
            <c:spPr>
              <a:solidFill>
                <a:schemeClr val="accent2">
                  <a:lumMod val="75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7.2330558680165037E-3"/>
                  <c:y val="-1.7908165267713844E-2"/>
                </c:manualLayout>
              </c:layout>
              <c:tx>
                <c:rich>
                  <a:bodyPr/>
                  <a:lstStyle/>
                  <a:p>
                    <a:r>
                      <a:rPr lang="lt-LT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Pensijų draudimui  23,3%+3%</a:t>
                    </a:r>
                    <a:endParaRPr lang="lt-LT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4.6107596550431236E-2"/>
                  <c:y val="-1.21308461558027E-2"/>
                </c:manualLayout>
              </c:layout>
              <c:tx>
                <c:rich>
                  <a:bodyPr/>
                  <a:lstStyle/>
                  <a:p>
                    <a:r>
                      <a:rPr lang="lt-LT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Ligos ir motinystės  draudimui  3,4 % </a:t>
                    </a:r>
                    <a:endParaRPr lang="lt-LT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3.2203221293373573E-2"/>
                  <c:y val="9.2772782100462289E-2"/>
                </c:manualLayout>
              </c:layout>
              <c:tx>
                <c:rich>
                  <a:bodyPr/>
                  <a:lstStyle/>
                  <a:p>
                    <a:r>
                      <a:rPr lang="en-US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Nedarbo draudimui 
1,1 %</a:t>
                    </a:r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4.6627611548556394E-2"/>
                  <c:y val="4.9602809672522355E-2"/>
                </c:manualLayout>
              </c:layout>
              <c:tx>
                <c:rich>
                  <a:bodyPr/>
                  <a:lstStyle/>
                  <a:p>
                    <a:r>
                      <a:rPr lang="en-US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Sveikatos draudimui 
 3%+ 6% </a:t>
                    </a:r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6.3771308586426712E-2"/>
                  <c:y val="-9.3901558916079167E-3"/>
                </c:manualLayout>
              </c:layout>
              <c:tx>
                <c:rich>
                  <a:bodyPr/>
                  <a:lstStyle/>
                  <a:p>
                    <a:r>
                      <a:rPr lang="lt-LT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Nelaimingų atsitikimų darbe</a:t>
                    </a:r>
                    <a:r>
                      <a:rPr lang="lt-LT" sz="1000" b="1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</a:t>
                    </a:r>
                    <a:r>
                      <a:rPr lang="lt-LT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draudimui  (vidutinis)</a:t>
                    </a:r>
                    <a:r>
                      <a:rPr lang="lt-LT" sz="1000" b="1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</a:t>
                    </a:r>
                    <a:r>
                      <a:rPr lang="lt-LT" sz="1000" b="1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0,2 %</a:t>
                    </a:r>
                    <a:endParaRPr lang="lt-LT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'[8]grafikas(patvirtintas)_2015'!$A$3:$A$7</c:f>
              <c:strCache>
                <c:ptCount val="5"/>
                <c:pt idx="0">
                  <c:v> Pensijų draudimui</c:v>
                </c:pt>
                <c:pt idx="1">
                  <c:v>Ligos ir motinystės (tėvystės) draudimui</c:v>
                </c:pt>
                <c:pt idx="2">
                  <c:v> Draudimui nuo nedarbo</c:v>
                </c:pt>
                <c:pt idx="3">
                  <c:v> Sveikatos draudimui</c:v>
                </c:pt>
                <c:pt idx="4">
                  <c:v>Draudimas nuo nelaimingų atsitikimų darbe</c:v>
                </c:pt>
              </c:strCache>
            </c:strRef>
          </c:cat>
          <c:val>
            <c:numRef>
              <c:f>'[8]grafikas(patvirtintas)_2015'!$B$3:$B$7</c:f>
              <c:numCache>
                <c:formatCode>General</c:formatCode>
                <c:ptCount val="5"/>
                <c:pt idx="0">
                  <c:v>0.26300000000000001</c:v>
                </c:pt>
                <c:pt idx="1">
                  <c:v>3.4000000000000002E-2</c:v>
                </c:pt>
                <c:pt idx="2">
                  <c:v>1.0999999999999999E-2</c:v>
                </c:pt>
                <c:pt idx="3">
                  <c:v>0.09</c:v>
                </c:pt>
                <c:pt idx="4">
                  <c:v>2E-3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 panose="02020603050405020304" pitchFamily="18" charset="0"/>
          <a:ea typeface="TimesLT"/>
          <a:cs typeface="Times New Roman" panose="02020603050405020304" pitchFamily="18" charset="0"/>
        </a:defRPr>
      </a:pPr>
      <a:endParaRPr lang="lt-LT"/>
    </a:p>
  </c:txPr>
  <c:printSettings>
    <c:headerFooter alignWithMargins="0"/>
    <c:pageMargins b="0.95" l="0.79" r="0.97" t="0.65" header="0.5" footer="0.5"/>
    <c:pageSetup paperSize="9" orientation="landscape" horizontalDpi="-4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t-LT" sz="1200" b="1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VSDF biudžeto pajamų kitimas 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(proc.)</a:t>
            </a:r>
            <a:endParaRPr lang="lt-LT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r>
              <a:rPr lang="lt-LT" sz="1200" b="1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2010-2015 m. </a:t>
            </a:r>
            <a:endParaRPr lang="lt-LT" sz="12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lt-LT"/>
        </a:p>
      </c:txPr>
    </c:title>
    <c:autoTitleDeleted val="0"/>
    <c:plotArea>
      <c:layout>
        <c:manualLayout>
          <c:layoutTarget val="inner"/>
          <c:xMode val="edge"/>
          <c:yMode val="edge"/>
          <c:x val="9.9658303286917937E-2"/>
          <c:y val="9.8722127316264979E-2"/>
          <c:w val="0.83327176097250855"/>
          <c:h val="0.68833144288025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'10 psl.'!$A$5</c:f>
              <c:strCache>
                <c:ptCount val="1"/>
                <c:pt idx="0">
                  <c:v>Priskaičiuojamos pajamos mln. Eur (Nuo 2013 m. sveikatos draudimo įmokos kaip fondo biudžeto pajamos neįskaitomos)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'10 psl.'!$B$4:$G$4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'10 psl.'!$B$5:$G$5</c:f>
              <c:numCache>
                <c:formatCode>General</c:formatCode>
                <c:ptCount val="6"/>
                <c:pt idx="0">
                  <c:v>3037.1</c:v>
                </c:pt>
                <c:pt idx="1">
                  <c:v>3217.6</c:v>
                </c:pt>
                <c:pt idx="2">
                  <c:v>3363.3</c:v>
                </c:pt>
                <c:pt idx="3">
                  <c:v>2894.6</c:v>
                </c:pt>
                <c:pt idx="4">
                  <c:v>3059.2</c:v>
                </c:pt>
                <c:pt idx="5">
                  <c:v>3285.7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38406320"/>
        <c:axId val="138406712"/>
      </c:barChart>
      <c:lineChart>
        <c:grouping val="standard"/>
        <c:varyColors val="0"/>
        <c:ser>
          <c:idx val="1"/>
          <c:order val="1"/>
          <c:tx>
            <c:strRef>
              <c:f>'10 psl.'!$A$6</c:f>
              <c:strCache>
                <c:ptCount val="1"/>
                <c:pt idx="0">
                  <c:v>Metinis kitimas, proc.</c:v>
                </c:pt>
              </c:strCache>
            </c:strRef>
          </c:tx>
          <c:spPr>
            <a:ln w="25400" cap="rnd">
              <a:solidFill>
                <a:schemeClr val="tx2">
                  <a:lumMod val="75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2">
                  <a:lumMod val="75000"/>
                </a:schemeClr>
              </a:solidFill>
              <a:ln w="9525">
                <a:solidFill>
                  <a:schemeClr val="tx2">
                    <a:lumMod val="75000"/>
                  </a:schemeClr>
                </a:solidFill>
              </a:ln>
              <a:effectLst/>
            </c:spPr>
          </c:marker>
          <c:dLbls>
            <c:dLbl>
              <c:idx val="3"/>
              <c:layout>
                <c:manualLayout>
                  <c:x val="-3.6887373690728011E-2"/>
                  <c:y val="-5.85175720143030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'10 psl.'!$B$4:$G$4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'10 psl.'!$B$6:$G$6</c:f>
              <c:numCache>
                <c:formatCode>General</c:formatCode>
                <c:ptCount val="6"/>
                <c:pt idx="0">
                  <c:v>-7.7</c:v>
                </c:pt>
                <c:pt idx="1">
                  <c:v>5.9</c:v>
                </c:pt>
                <c:pt idx="2">
                  <c:v>4.5</c:v>
                </c:pt>
                <c:pt idx="3">
                  <c:v>-13.9</c:v>
                </c:pt>
                <c:pt idx="4">
                  <c:v>5.7</c:v>
                </c:pt>
                <c:pt idx="5">
                  <c:v>7.4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407496"/>
        <c:axId val="138407104"/>
      </c:lineChart>
      <c:catAx>
        <c:axId val="138406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6712"/>
        <c:crosses val="autoZero"/>
        <c:auto val="1"/>
        <c:lblAlgn val="ctr"/>
        <c:lblOffset val="100"/>
        <c:noMultiLvlLbl val="0"/>
      </c:catAx>
      <c:valAx>
        <c:axId val="138406712"/>
        <c:scaling>
          <c:orientation val="minMax"/>
          <c:max val="4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t-LT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Mln. Eur</a:t>
                </a:r>
              </a:p>
            </c:rich>
          </c:tx>
          <c:layout>
            <c:manualLayout>
              <c:xMode val="edge"/>
              <c:yMode val="edge"/>
              <c:x val="9.4899148358603413E-3"/>
              <c:y val="0.3697077663124022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lt-L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6320"/>
        <c:crosses val="autoZero"/>
        <c:crossBetween val="between"/>
      </c:valAx>
      <c:valAx>
        <c:axId val="138407104"/>
        <c:scaling>
          <c:orientation val="minMax"/>
          <c:max val="4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t-LT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0.96544714535889364"/>
              <c:y val="0.377433325881912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t-LT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7496"/>
        <c:crosses val="max"/>
        <c:crossBetween val="between"/>
      </c:valAx>
      <c:catAx>
        <c:axId val="1384074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84071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1669821502921549E-2"/>
          <c:y val="0.86898148275916021"/>
          <c:w val="0.90811318438736599"/>
          <c:h val="0.118188274407313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lt-LT" sz="1200" b="1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VSDF biudžeto išlaidų kitimas </a:t>
            </a:r>
            <a:r>
              <a:rPr lang="lt-LT" sz="1200" b="1" i="0" u="none" strike="noStrike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(proc.) </a:t>
            </a:r>
            <a:r>
              <a:rPr lang="lt-LT" sz="1200" b="1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2010-2015 m. </a:t>
            </a:r>
            <a:endParaRPr lang="lt-LT" sz="12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lt-LT"/>
        </a:p>
      </c:txPr>
    </c:title>
    <c:autoTitleDeleted val="0"/>
    <c:plotArea>
      <c:layout>
        <c:manualLayout>
          <c:layoutTarget val="inner"/>
          <c:xMode val="edge"/>
          <c:yMode val="edge"/>
          <c:x val="9.0168388451057596E-2"/>
          <c:y val="9.8722127316264979E-2"/>
          <c:w val="0.84276167580836892"/>
          <c:h val="0.68833144288025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'11 psl.'!$A$10</c:f>
              <c:strCache>
                <c:ptCount val="1"/>
                <c:pt idx="0">
                  <c:v>Priskaičiuotos išlaidos, mln. Eur (Nuo 2013 m. sveikatos draudimo lėšos, pervedamos į Privalomąjį  sveikatos draudimo fondą, kaip fondo biudžeto išlaidos neapskaitomos)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'11 psl.'!$B$9:$G$9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'11 psl.'!$B$10:$G$10</c:f>
              <c:numCache>
                <c:formatCode>General</c:formatCode>
                <c:ptCount val="6"/>
                <c:pt idx="0">
                  <c:v>3842.5</c:v>
                </c:pt>
                <c:pt idx="1">
                  <c:v>3796.3</c:v>
                </c:pt>
                <c:pt idx="2">
                  <c:v>3901.4</c:v>
                </c:pt>
                <c:pt idx="3">
                  <c:v>3252.5</c:v>
                </c:pt>
                <c:pt idx="4">
                  <c:v>3371.6</c:v>
                </c:pt>
                <c:pt idx="5">
                  <c:v>3244.5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38405536"/>
        <c:axId val="138405144"/>
      </c:barChart>
      <c:lineChart>
        <c:grouping val="standard"/>
        <c:varyColors val="0"/>
        <c:ser>
          <c:idx val="1"/>
          <c:order val="1"/>
          <c:tx>
            <c:strRef>
              <c:f>'11 psl.'!$A$11</c:f>
              <c:strCache>
                <c:ptCount val="1"/>
                <c:pt idx="0">
                  <c:v>Metinis kitimas, proc.</c:v>
                </c:pt>
              </c:strCache>
            </c:strRef>
          </c:tx>
          <c:spPr>
            <a:ln w="25400" cap="rnd">
              <a:solidFill>
                <a:schemeClr val="tx2">
                  <a:lumMod val="75000"/>
                </a:schemeClr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tx2">
                  <a:lumMod val="75000"/>
                </a:schemeClr>
              </a:solidFill>
              <a:ln w="9525">
                <a:solidFill>
                  <a:schemeClr val="tx2">
                    <a:lumMod val="75000"/>
                  </a:schemeClr>
                </a:solidFill>
              </a:ln>
              <a:effectLst/>
            </c:spPr>
          </c:marker>
          <c:dLbls>
            <c:dLbl>
              <c:idx val="3"/>
              <c:layout>
                <c:manualLayout>
                  <c:x val="-3.6887373690728011E-2"/>
                  <c:y val="-4.68344800242125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'11 psl.'!$B$9:$G$9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'11 psl.'!$B$11:$G$11</c:f>
              <c:numCache>
                <c:formatCode>General</c:formatCode>
                <c:ptCount val="6"/>
                <c:pt idx="0">
                  <c:v>-6.8</c:v>
                </c:pt>
                <c:pt idx="1">
                  <c:v>-1.2</c:v>
                </c:pt>
                <c:pt idx="2">
                  <c:v>2.8</c:v>
                </c:pt>
                <c:pt idx="3">
                  <c:v>-16.600000000000001</c:v>
                </c:pt>
                <c:pt idx="4">
                  <c:v>3.7</c:v>
                </c:pt>
                <c:pt idx="5">
                  <c:v>-3.8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404360"/>
        <c:axId val="138404752"/>
      </c:lineChart>
      <c:catAx>
        <c:axId val="138405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5144"/>
        <c:crosses val="autoZero"/>
        <c:auto val="1"/>
        <c:lblAlgn val="ctr"/>
        <c:lblOffset val="100"/>
        <c:noMultiLvlLbl val="0"/>
      </c:catAx>
      <c:valAx>
        <c:axId val="13840514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t-LT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Mln. Eur</a:t>
                </a:r>
              </a:p>
            </c:rich>
          </c:tx>
          <c:layout>
            <c:manualLayout>
              <c:xMode val="edge"/>
              <c:yMode val="edge"/>
              <c:x val="3.7959659343441365E-3"/>
              <c:y val="0.378470085304970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t-L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5536"/>
        <c:crosses val="autoZero"/>
        <c:crossBetween val="between"/>
      </c:valAx>
      <c:valAx>
        <c:axId val="138404752"/>
        <c:scaling>
          <c:orientation val="minMax"/>
          <c:max val="4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t-LT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t-LT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138404360"/>
        <c:crosses val="max"/>
        <c:crossBetween val="between"/>
      </c:valAx>
      <c:catAx>
        <c:axId val="138404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84047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1669821502921549E-2"/>
          <c:y val="0.86898148275916021"/>
          <c:w val="0.90811318438736599"/>
          <c:h val="0.118188274407313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Valstybinio socialinio draudimo fondo einamųjų metų rezultatas </a:t>
            </a:r>
            <a:r>
              <a:rPr lang="lt-LT" sz="1200" b="1" i="0" baseline="0">
                <a:effectLst/>
              </a:rPr>
              <a:t>(mln. Eur)</a:t>
            </a:r>
            <a:endParaRPr lang="lt-LT" sz="1200"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2010-2015 m. </a:t>
            </a:r>
            <a:endParaRPr lang="lt-LT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lt-LT"/>
        </a:p>
      </c:txPr>
    </c:title>
    <c:autoTitleDeleted val="0"/>
    <c:plotArea>
      <c:layout>
        <c:manualLayout>
          <c:layoutTarget val="inner"/>
          <c:xMode val="edge"/>
          <c:yMode val="edge"/>
          <c:x val="5.8133467461679786E-2"/>
          <c:y val="0.22132743563653209"/>
          <c:w val="0.92100356119122939"/>
          <c:h val="0.742233645720331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'12 psl.'!$A$7:$C$7</c:f>
              <c:strCache>
                <c:ptCount val="3"/>
                <c:pt idx="0">
                  <c:v>Biudžeto balansas (Eur)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'12 psl.'!$D$5:$N$5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'12 psl.'!$D$7:$N$7</c:f>
              <c:numCache>
                <c:formatCode>0.0</c:formatCode>
                <c:ptCount val="6"/>
                <c:pt idx="0">
                  <c:v>-805.4</c:v>
                </c:pt>
                <c:pt idx="1">
                  <c:v>-578.70000000000005</c:v>
                </c:pt>
                <c:pt idx="2">
                  <c:v>-538</c:v>
                </c:pt>
                <c:pt idx="3">
                  <c:v>-357.7</c:v>
                </c:pt>
                <c:pt idx="4">
                  <c:v>-312.39999999999998</c:v>
                </c:pt>
                <c:pt idx="5" formatCode="General">
                  <c:v>-136.80000000000001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0576136"/>
        <c:axId val="280576528"/>
      </c:barChart>
      <c:catAx>
        <c:axId val="280576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280576528"/>
        <c:crosses val="autoZero"/>
        <c:auto val="1"/>
        <c:lblAlgn val="ctr"/>
        <c:lblOffset val="100"/>
        <c:noMultiLvlLbl val="0"/>
      </c:catAx>
      <c:valAx>
        <c:axId val="280576528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lt-LT"/>
          </a:p>
        </c:txPr>
        <c:crossAx val="28057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lt-LT" sz="1200"/>
              <a:t>VSDF biudžeto išlaidos bendrame vidaus produkte (proc.) 2010-2015 m.</a:t>
            </a:r>
            <a:r>
              <a:rPr lang="en-US" sz="1200"/>
              <a:t> </a:t>
            </a:r>
            <a:endParaRPr lang="lt-LT" sz="1200"/>
          </a:p>
        </c:rich>
      </c:tx>
      <c:layout>
        <c:manualLayout>
          <c:xMode val="edge"/>
          <c:yMode val="edge"/>
          <c:x val="0.13579776670801058"/>
          <c:y val="2.115388628287972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02286701630256E-2"/>
          <c:y val="0.11970009165471267"/>
          <c:w val="0.92749716355155487"/>
          <c:h val="0.73009693569349121"/>
        </c:manualLayout>
      </c:layout>
      <c:lineChart>
        <c:grouping val="standard"/>
        <c:varyColors val="0"/>
        <c:ser>
          <c:idx val="0"/>
          <c:order val="0"/>
          <c:tx>
            <c:strRef>
              <c:f>'13 psl.'!$A$5:$B$5</c:f>
              <c:strCache>
                <c:ptCount val="2"/>
                <c:pt idx="0">
                  <c:v>Išlaidos pensijoms (tūkst. Eur)</c:v>
                </c:pt>
              </c:strCache>
            </c:strRef>
          </c:tx>
          <c:cat>
            <c:numRef>
              <c:f>'13 psl.'!$C$4:$H$4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'13 psl.'!$C$5:$H$5</c:f>
            </c:numRef>
          </c:val>
          <c:smooth val="0"/>
        </c:ser>
        <c:ser>
          <c:idx val="1"/>
          <c:order val="1"/>
          <c:tx>
            <c:strRef>
              <c:f>'13 psl.'!$A$6:$B$6</c:f>
              <c:strCache>
                <c:ptCount val="2"/>
                <c:pt idx="0">
                  <c:v>Bendrasis vidaus produktas (tūkst. Eur)</c:v>
                </c:pt>
              </c:strCache>
            </c:strRef>
          </c:tx>
          <c:cat>
            <c:numRef>
              <c:f>'13 psl.'!$C$4:$H$4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'13 psl.'!$C$6:$H$6</c:f>
            </c:numRef>
          </c:val>
          <c:smooth val="0"/>
        </c:ser>
        <c:ser>
          <c:idx val="2"/>
          <c:order val="2"/>
          <c:tx>
            <c:strRef>
              <c:f>'13 psl.'!$A$7:$B$7</c:f>
              <c:strCache>
                <c:ptCount val="2"/>
                <c:pt idx="0">
                  <c:v>išlaidų VSD pensijoms dalis</c:v>
                </c:pt>
              </c:strCache>
            </c:strRef>
          </c:tx>
          <c:spPr>
            <a:ln w="22225">
              <a:solidFill>
                <a:schemeClr val="accent2">
                  <a:lumMod val="75000"/>
                </a:schemeClr>
              </a:solidFill>
            </a:ln>
          </c:spPr>
          <c:marker>
            <c:symbol val="circle"/>
            <c:size val="5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Lbls>
            <c:dLbl>
              <c:idx val="3"/>
              <c:layout>
                <c:manualLayout>
                  <c:x val="-3.5119047619047619E-2"/>
                  <c:y val="-4.51388888888888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3.5119047619047709E-2"/>
                  <c:y val="-4.9768518518518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3.5119047619047619E-2"/>
                  <c:y val="-4.51388888888888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'13 psl.'!$C$4:$H$4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'13 psl.'!$C$7:$H$7</c:f>
              <c:numCache>
                <c:formatCode>0.0</c:formatCode>
                <c:ptCount val="6"/>
                <c:pt idx="0">
                  <c:v>7.915249663725529</c:v>
                </c:pt>
                <c:pt idx="1">
                  <c:v>7.1035864965406512</c:v>
                </c:pt>
                <c:pt idx="2">
                  <c:v>7.1093898250171748</c:v>
                </c:pt>
                <c:pt idx="3">
                  <c:v>6.7629253879904594</c:v>
                </c:pt>
                <c:pt idx="4">
                  <c:v>6.9124909999890241</c:v>
                </c:pt>
                <c:pt idx="5">
                  <c:v>6.7025695698100352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'13 psl.'!$A$8:$B$8</c:f>
              <c:strCache>
                <c:ptCount val="2"/>
                <c:pt idx="0">
                  <c:v>Visos VSDF išlaidos (tūkst. Eur)</c:v>
                </c:pt>
              </c:strCache>
            </c:strRef>
          </c:tx>
          <c:cat>
            <c:numRef>
              <c:f>'13 psl.'!$C$4:$H$4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'13 psl.'!$C$8:$H$8</c:f>
            </c:numRef>
          </c:val>
          <c:smooth val="0"/>
        </c:ser>
        <c:ser>
          <c:idx val="4"/>
          <c:order val="4"/>
          <c:tx>
            <c:strRef>
              <c:f>'13 psl.'!$A$9:$B$9</c:f>
              <c:strCache>
                <c:ptCount val="2"/>
                <c:pt idx="0">
                  <c:v>visų VSDF išlaidų dalis</c:v>
                </c:pt>
              </c:strCache>
            </c:strRef>
          </c:tx>
          <c:spPr>
            <a:ln w="22225">
              <a:solidFill>
                <a:srgbClr val="4D7D4F"/>
              </a:solidFill>
            </a:ln>
          </c:spPr>
          <c:marker>
            <c:symbol val="square"/>
            <c:size val="5"/>
            <c:spPr>
              <a:solidFill>
                <a:srgbClr val="4D7D4F"/>
              </a:solidFill>
              <a:ln>
                <a:solidFill>
                  <a:srgbClr val="4D7D4F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'13 psl.'!$C$4:$H$4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'13 psl.'!$C$9:$H$9</c:f>
              <c:numCache>
                <c:formatCode>0.0</c:formatCode>
                <c:ptCount val="6"/>
                <c:pt idx="0">
                  <c:v>13.709730808004581</c:v>
                </c:pt>
                <c:pt idx="1">
                  <c:v>12.142980118711835</c:v>
                </c:pt>
                <c:pt idx="2">
                  <c:v>11.703544654669159</c:v>
                </c:pt>
                <c:pt idx="3">
                  <c:v>9.3028521174296799</c:v>
                </c:pt>
                <c:pt idx="4">
                  <c:v>9.2512265560689713</c:v>
                </c:pt>
                <c:pt idx="5">
                  <c:v>9.2190717447311066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577312"/>
        <c:axId val="280577704"/>
      </c:lineChart>
      <c:catAx>
        <c:axId val="28057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000" b="1"/>
            </a:pPr>
            <a:endParaRPr lang="lt-LT"/>
          </a:p>
        </c:txPr>
        <c:crossAx val="280577704"/>
        <c:crosses val="autoZero"/>
        <c:auto val="1"/>
        <c:lblAlgn val="ctr"/>
        <c:lblOffset val="100"/>
        <c:noMultiLvlLbl val="0"/>
      </c:catAx>
      <c:valAx>
        <c:axId val="280577704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</a:ln>
        </c:spPr>
        <c:crossAx val="280577312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sz="1200"/>
              <a:t>VALSTYBINIO SOCIALINIO DRAUDIMO FONDO VISŲ IŠLAIDŲ IR IŠLAIDŲ PENSIJOMS KITIMAS 20</a:t>
            </a:r>
            <a:r>
              <a:rPr lang="lt-LT" sz="1200"/>
              <a:t>10</a:t>
            </a:r>
            <a:r>
              <a:rPr lang="en-US" sz="1200"/>
              <a:t>-201</a:t>
            </a:r>
            <a:r>
              <a:rPr lang="lt-LT" sz="1200"/>
              <a:t>5</a:t>
            </a:r>
            <a:r>
              <a:rPr lang="lt-LT" sz="1200" baseline="0"/>
              <a:t> </a:t>
            </a:r>
            <a:r>
              <a:rPr lang="en-US" sz="1200"/>
              <a:t>m.</a:t>
            </a:r>
          </a:p>
        </c:rich>
      </c:tx>
      <c:layout>
        <c:manualLayout>
          <c:xMode val="edge"/>
          <c:yMode val="edge"/>
          <c:x val="0.1251931795238882"/>
          <c:y val="3.57142857142857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4840608760500809E-2"/>
          <c:y val="0.17086834733893558"/>
          <c:w val="0.8648766566085937"/>
          <c:h val="0.5994397759103641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'15 psl.'!$A$4</c:f>
              <c:strCache>
                <c:ptCount val="1"/>
                <c:pt idx="0">
                  <c:v>VSDF biudžeto išlaidos, mln.Eur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8.9423829749256684E-3"/>
                  <c:y val="3.21114272480650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General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'15 psl.'!$B$3:$G$3</c:f>
              <c:numCache>
                <c:formatCode>#,##0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'15 psl.'!$B$4:$G$4</c:f>
              <c:numCache>
                <c:formatCode>General</c:formatCode>
                <c:ptCount val="6"/>
                <c:pt idx="0">
                  <c:v>3842.5</c:v>
                </c:pt>
                <c:pt idx="1">
                  <c:v>3802.6</c:v>
                </c:pt>
                <c:pt idx="2">
                  <c:v>3901.4</c:v>
                </c:pt>
                <c:pt idx="3">
                  <c:v>3252.5</c:v>
                </c:pt>
                <c:pt idx="4">
                  <c:v>3371.6</c:v>
                </c:pt>
                <c:pt idx="5">
                  <c:v>3422.5</c:v>
                </c:pt>
              </c:numCache>
            </c:numRef>
          </c:val>
        </c:ser>
        <c:ser>
          <c:idx val="2"/>
          <c:order val="1"/>
          <c:tx>
            <c:strRef>
              <c:f>'15 psl.'!$A$5</c:f>
              <c:strCache>
                <c:ptCount val="1"/>
                <c:pt idx="0">
                  <c:v>Išlaidos pensijų draudimui, mln.Eur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6600329982959711E-2"/>
                  <c:y val="-9.613136593219965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1746412548596919E-2"/>
                  <c:y val="-6.66997507664483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1.0960208699847974E-2"/>
                  <c:y val="-8.853084540902975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3020911134021831E-2"/>
                  <c:y val="-9.25648999757383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780339802404807E-2"/>
                  <c:y val="-4.618319768852422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1.1204285607184861E-2"/>
                  <c:y val="-1.405412558724379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General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r"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'15 psl.'!$B$3:$G$3</c:f>
              <c:numCache>
                <c:formatCode>#,##0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'15 psl.'!$B$5:$G$5</c:f>
              <c:numCache>
                <c:formatCode>General</c:formatCode>
                <c:ptCount val="6"/>
                <c:pt idx="0">
                  <c:v>2218.5</c:v>
                </c:pt>
                <c:pt idx="1">
                  <c:v>2220.8000000000002</c:v>
                </c:pt>
                <c:pt idx="2">
                  <c:v>2369.9</c:v>
                </c:pt>
                <c:pt idx="3">
                  <c:v>2364.5</c:v>
                </c:pt>
                <c:pt idx="4">
                  <c:v>2519.1999999999998</c:v>
                </c:pt>
                <c:pt idx="5">
                  <c:v>2488.1999999999998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0578488"/>
        <c:axId val="280578880"/>
      </c:barChart>
      <c:lineChart>
        <c:grouping val="standard"/>
        <c:varyColors val="0"/>
        <c:ser>
          <c:idx val="0"/>
          <c:order val="2"/>
          <c:tx>
            <c:strRef>
              <c:f>'15 psl.'!$A$6</c:f>
              <c:strCache>
                <c:ptCount val="1"/>
                <c:pt idx="0">
                  <c:v>VSDF išlaidų pensijoms ir visų išlaidų santykis, proc.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'15 psl.'!$B$6:$G$6</c:f>
              <c:numCache>
                <c:formatCode>0.0%</c:formatCode>
                <c:ptCount val="6"/>
                <c:pt idx="0">
                  <c:v>0.57699999999999996</c:v>
                </c:pt>
                <c:pt idx="1">
                  <c:v>0.58399999999999996</c:v>
                </c:pt>
                <c:pt idx="2">
                  <c:v>0.60699999999999998</c:v>
                </c:pt>
                <c:pt idx="3">
                  <c:v>0.72699999999999998</c:v>
                </c:pt>
                <c:pt idx="4">
                  <c:v>0.747</c:v>
                </c:pt>
                <c:pt idx="5">
                  <c:v>0.72699999999999998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771760"/>
        <c:axId val="274772152"/>
      </c:lineChart>
      <c:catAx>
        <c:axId val="280578488"/>
        <c:scaling>
          <c:orientation val="minMax"/>
        </c:scaling>
        <c:delete val="0"/>
        <c:axPos val="b"/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8057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80578880"/>
        <c:scaling>
          <c:orientation val="minMax"/>
          <c:max val="6000"/>
          <c:min val="0"/>
        </c:scaling>
        <c:delete val="0"/>
        <c:axPos val="l"/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80578488"/>
        <c:crosses val="autoZero"/>
        <c:crossBetween val="between"/>
      </c:valAx>
      <c:catAx>
        <c:axId val="274771760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274772152"/>
        <c:crossesAt val="0"/>
        <c:auto val="0"/>
        <c:lblAlgn val="ctr"/>
        <c:lblOffset val="100"/>
        <c:noMultiLvlLbl val="0"/>
      </c:catAx>
      <c:valAx>
        <c:axId val="274772152"/>
        <c:scaling>
          <c:orientation val="minMax"/>
          <c:max val="0.75000000000000011"/>
          <c:min val="0"/>
        </c:scaling>
        <c:delete val="0"/>
        <c:axPos val="r"/>
        <c:numFmt formatCode="0%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74771760"/>
        <c:crosses val="max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2735401032617405"/>
          <c:y val="0.84873949579831931"/>
          <c:w val="0.84181550076193523"/>
          <c:h val="0.1281512605042016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chemeClr val="bg1"/>
    </a:solidFill>
    <a:ln w="9525">
      <a:solidFill>
        <a:srgbClr val="000000"/>
      </a:solidFill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lt-LT"/>
    </a:p>
  </c:txPr>
  <c:printSettings>
    <c:headerFooter alignWithMargins="0"/>
    <c:pageMargins b="1" l="1.05" r="1.1000000000000001" t="0.72" header="0.5" footer="0.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lt-LT" sz="1200"/>
              <a:t> 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Apdraustųjų ir mokamų pensijų skaičiaus santykio kitimas</a:t>
            </a:r>
          </a:p>
          <a:p>
            <a:pPr>
              <a:defRPr sz="1200"/>
            </a:pP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 2010-2015 m.</a:t>
            </a:r>
          </a:p>
        </c:rich>
      </c:tx>
      <c:layout>
        <c:manualLayout>
          <c:xMode val="edge"/>
          <c:yMode val="edge"/>
          <c:x val="0.1781166539135586"/>
          <c:y val="2.500260154705331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256397637795275E-2"/>
          <c:y val="0.16043956043956045"/>
          <c:w val="0.867300763540921"/>
          <c:h val="0.66236582496153495"/>
        </c:manualLayout>
      </c:layout>
      <c:lineChart>
        <c:grouping val="standard"/>
        <c:varyColors val="0"/>
        <c:ser>
          <c:idx val="1"/>
          <c:order val="0"/>
          <c:tx>
            <c:strRef>
              <c:f>[7]Sheet2!$A$2</c:f>
              <c:strCache>
                <c:ptCount val="1"/>
                <c:pt idx="0">
                  <c:v>Apdraustųjų  skaičius, tenkantis vienai mokamai pensijai</c:v>
                </c:pt>
              </c:strCache>
            </c:strRef>
          </c:tx>
          <c:spPr>
            <a:ln w="25400">
              <a:solidFill>
                <a:schemeClr val="accent2">
                  <a:lumMod val="75000"/>
                </a:schemeClr>
              </a:solidFill>
            </a:ln>
          </c:spPr>
          <c:marker>
            <c:symbol val="diamond"/>
            <c:size val="7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</a:ln>
            </c:spPr>
          </c:marker>
          <c:dLbls>
            <c:dLbl>
              <c:idx val="0"/>
              <c:layout>
                <c:manualLayout>
                  <c:x val="-4.0099319971367217E-2"/>
                  <c:y val="-5.00291700825533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4.6756740634693393E-2"/>
                  <c:y val="-4.8539017368591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[7]Sheet2!$P$1:$U$1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[7]Sheet2!$P$2:$U$2</c:f>
              <c:numCache>
                <c:formatCode>General</c:formatCode>
                <c:ptCount val="6"/>
                <c:pt idx="0">
                  <c:v>1.1200000000000001</c:v>
                </c:pt>
                <c:pt idx="1">
                  <c:v>1.17</c:v>
                </c:pt>
                <c:pt idx="2">
                  <c:v>1.21</c:v>
                </c:pt>
                <c:pt idx="3">
                  <c:v>1.23</c:v>
                </c:pt>
                <c:pt idx="4">
                  <c:v>1.26</c:v>
                </c:pt>
                <c:pt idx="5">
                  <c:v>1.3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772936"/>
        <c:axId val="274773328"/>
      </c:lineChart>
      <c:catAx>
        <c:axId val="274772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000"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74773328"/>
        <c:crosses val="autoZero"/>
        <c:auto val="0"/>
        <c:lblAlgn val="ctr"/>
        <c:lblOffset val="100"/>
        <c:noMultiLvlLbl val="0"/>
      </c:catAx>
      <c:valAx>
        <c:axId val="274773328"/>
        <c:scaling>
          <c:orientation val="minMax"/>
          <c:min val="1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lt-LT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Žmonės</a:t>
                </a:r>
              </a:p>
            </c:rich>
          </c:tx>
          <c:layout>
            <c:manualLayout>
              <c:xMode val="edge"/>
              <c:yMode val="edge"/>
              <c:x val="3.9798204874629149E-3"/>
              <c:y val="0.36095121730473345"/>
            </c:manualLayout>
          </c:layout>
          <c:overlay val="0"/>
        </c:title>
        <c:numFmt formatCode="General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0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74772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9736309949892628"/>
          <c:y val="0.91614751545887274"/>
          <c:w val="0.63190284600004931"/>
          <c:h val="5.3106940927538246E-2"/>
        </c:manualLayout>
      </c:layout>
      <c:overlay val="0"/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printSettings>
    <c:headerFooter alignWithMargins="0"/>
    <c:pageMargins b="0.63" l="0.62" r="0.41" t="1" header="0.5" footer="0.5"/>
    <c:pageSetup paperSize="9" orientation="landscape" horizontalDpi="-4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VALSTYBINIO SOCIALINIO DRAUDIMO MOKAMŲ PENSIJŲ SKAIČIAUS PASISKIRSTYMAS PAGAL PENSIJŲ RŪŠIS 201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
 METAIS</a:t>
            </a:r>
          </a:p>
        </c:rich>
      </c:tx>
      <c:layout>
        <c:manualLayout>
          <c:xMode val="edge"/>
          <c:yMode val="edge"/>
          <c:x val="0.11828512724856195"/>
          <c:y val="1.6979617687000261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232361427361881"/>
          <c:y val="0.50113489657493748"/>
          <c:w val="0.53703791995133621"/>
          <c:h val="0.28798249712677404"/>
        </c:manualLayout>
      </c:layout>
      <c:pie3DChart>
        <c:varyColors val="1"/>
        <c:ser>
          <c:idx val="0"/>
          <c:order val="0"/>
          <c:tx>
            <c:strRef>
              <c:f>'[9]36_a_psl+'!$C$5</c:f>
              <c:strCache>
                <c:ptCount val="1"/>
                <c:pt idx="0">
                  <c:v>2015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6"/>
          <c:dPt>
            <c:idx val="0"/>
            <c:bubble3D val="0"/>
            <c:spPr>
              <a:solidFill>
                <a:schemeClr val="accent2">
                  <a:lumMod val="75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5.5767948750741751E-2"/>
                  <c:y val="2.7442035753309146E-3"/>
                </c:manualLayout>
              </c:layout>
              <c:tx>
                <c:rich>
                  <a:bodyPr/>
                  <a:lstStyle/>
                  <a:p>
                    <a:fld id="{DD232A31-C903-47B7-BEEB-E1D3B9C31214}" type="CATEGORYNAME">
                      <a:rPr lang="lt-LT"/>
                      <a:pPr/>
                      <a:t>[KATEGORIJOS PAVADINIMAS]</a:t>
                    </a:fld>
                    <a:r>
                      <a:rPr lang="lt-LT" baseline="0"/>
                      <a:t>
55,5%</a:t>
                    </a: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6587054438535509E-2"/>
                  <c:y val="0.11433603210821264"/>
                </c:manualLayout>
              </c:layout>
              <c:tx>
                <c:rich>
                  <a:bodyPr/>
                  <a:lstStyle/>
                  <a:p>
                    <a:fld id="{9BD4BFA9-8767-4C3D-89A6-F1E16AB94FEF}" type="CATEGORYNAME">
                      <a:rPr lang="en-US"/>
                      <a:pPr/>
                      <a:t>[KATEGORIJOS PAVADINIMAS]</a:t>
                    </a:fld>
                    <a:r>
                      <a:rPr lang="en-US" baseline="0"/>
                      <a:t>
19,4%</a:t>
                    </a: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8.6941872988239327E-2"/>
                  <c:y val="-6.3258574689644451E-2"/>
                </c:manualLayout>
              </c:layout>
              <c:tx>
                <c:rich>
                  <a:bodyPr/>
                  <a:lstStyle/>
                  <a:p>
                    <a:fld id="{D5B2681A-4F5C-4A02-A4A9-A7C11946D940}" type="CATEGORYNAME">
                      <a:rPr lang="lt-LT"/>
                      <a:pPr/>
                      <a:t>[KATEGORIJOS PAVADINIMAS]</a:t>
                    </a:fld>
                    <a:r>
                      <a:rPr lang="lt-LT" baseline="0"/>
                      <a:t>
24,2%</a:t>
                    </a: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3"/>
              <c:layout>
                <c:manualLayout>
                  <c:x val="-4.3387858173381928E-2"/>
                  <c:y val="-0.14968766147050347"/>
                </c:manualLayout>
              </c:layout>
              <c:tx>
                <c:rich>
                  <a:bodyPr/>
                  <a:lstStyle/>
                  <a:p>
                    <a:r>
                      <a:rPr lang="lt-LT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Išankstinės senatvės
0,9%</a:t>
                    </a:r>
                    <a:endParaRPr lang="lt-LT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10465496106881182"/>
                  <c:y val="-0.1584557858830270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.25065778594402782"/>
                  <c:y val="-5.444935533408998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.#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12700">
                  <a:solidFill>
                    <a:srgbClr val="000000"/>
                  </a:solidFill>
                  <a:prstDash val="solid"/>
                </a:ln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'[9]36_a_psl+'!$A$6:$A$9</c:f>
              <c:strCache>
                <c:ptCount val="4"/>
                <c:pt idx="0">
                  <c:v>Senatvės</c:v>
                </c:pt>
                <c:pt idx="1">
                  <c:v>Netekto darbingumo (invalidumo)</c:v>
                </c:pt>
                <c:pt idx="2">
                  <c:v>Našlių ir našlaičių (maitintojo netekimo)</c:v>
                </c:pt>
                <c:pt idx="3">
                  <c:v>Išankstinės senatvės</c:v>
                </c:pt>
              </c:strCache>
            </c:strRef>
          </c:cat>
          <c:val>
            <c:numRef>
              <c:f>'[9]36_a_psl+'!$C$6:$C$9</c:f>
              <c:numCache>
                <c:formatCode>General</c:formatCode>
                <c:ptCount val="4"/>
                <c:pt idx="0">
                  <c:v>0.55500000000000005</c:v>
                </c:pt>
                <c:pt idx="1">
                  <c:v>0.19439999999999999</c:v>
                </c:pt>
                <c:pt idx="2">
                  <c:v>0.2419</c:v>
                </c:pt>
                <c:pt idx="3">
                  <c:v>8.6999999999999994E-3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55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0.56999999999999995" l="0.75" r="0.75" t="0.52" header="0.5" footer="0.5"/>
    <c:pageSetup paperSize="9" orientation="landscape" horizontalDpi="-4" verticalDpi="300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VALSTYBINIO SOCIALINIO DRAUDIMO PENSIJŲ, PASKIRTŲ
20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10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- 201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M., SKAIČIUS</a:t>
            </a:r>
          </a:p>
        </c:rich>
      </c:tx>
      <c:layout>
        <c:manualLayout>
          <c:xMode val="edge"/>
          <c:yMode val="edge"/>
          <c:x val="0.17731685248745616"/>
          <c:y val="3.03826991685919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561552669164212E-2"/>
          <c:y val="0.13121829831151344"/>
          <c:w val="0.87890705969446126"/>
          <c:h val="0.693873355650903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'[9]37_psl_a+'!$A$2</c:f>
              <c:strCache>
                <c:ptCount val="1"/>
                <c:pt idx="0">
                  <c:v>Senatvės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 w="12700">
              <a:solidFill>
                <a:schemeClr val="tx1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'[9]37_psl_a+'!$B$1:$G$1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'[9]37_psl_a+'!$B$2:$G$2</c:f>
              <c:numCache>
                <c:formatCode>General</c:formatCode>
                <c:ptCount val="6"/>
                <c:pt idx="0">
                  <c:v>22.3</c:v>
                </c:pt>
                <c:pt idx="1">
                  <c:v>22.6</c:v>
                </c:pt>
                <c:pt idx="2">
                  <c:v>17.100000000000001</c:v>
                </c:pt>
                <c:pt idx="3">
                  <c:v>17.399999999999999</c:v>
                </c:pt>
                <c:pt idx="4">
                  <c:v>16.100000000000001</c:v>
                </c:pt>
                <c:pt idx="5">
                  <c:v>16.8</c:v>
                </c:pt>
              </c:numCache>
            </c:numRef>
          </c:val>
        </c:ser>
        <c:ser>
          <c:idx val="1"/>
          <c:order val="1"/>
          <c:tx>
            <c:strRef>
              <c:f>'[9]37_psl_a+'!$A$3</c:f>
              <c:strCache>
                <c:ptCount val="1"/>
                <c:pt idx="0">
                  <c:v>Netekto darbingumo (invalidumo)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'[9]37_psl_a+'!$B$1:$G$1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'[9]37_psl_a+'!$B$3:$G$3</c:f>
              <c:numCache>
                <c:formatCode>General</c:formatCode>
                <c:ptCount val="6"/>
                <c:pt idx="0">
                  <c:v>14.7</c:v>
                </c:pt>
                <c:pt idx="1">
                  <c:v>13.6</c:v>
                </c:pt>
                <c:pt idx="2">
                  <c:v>12.8</c:v>
                </c:pt>
                <c:pt idx="3">
                  <c:v>12.5</c:v>
                </c:pt>
                <c:pt idx="4">
                  <c:v>12.3</c:v>
                </c:pt>
                <c:pt idx="5">
                  <c:v>11.7</c:v>
                </c:pt>
              </c:numCache>
            </c:numRef>
          </c:val>
        </c:ser>
        <c:ser>
          <c:idx val="2"/>
          <c:order val="2"/>
          <c:tx>
            <c:strRef>
              <c:f>'[9]37_psl_a+'!$A$4</c:f>
              <c:strCache>
                <c:ptCount val="1"/>
                <c:pt idx="0">
                  <c:v>Našlių ir našlaičių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'[9]37_psl_a+'!$B$1:$G$1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'[9]37_psl_a+'!$B$4:$G$4</c:f>
              <c:numCache>
                <c:formatCode>General</c:formatCode>
                <c:ptCount val="6"/>
                <c:pt idx="0">
                  <c:v>17.399999999999999</c:v>
                </c:pt>
                <c:pt idx="1">
                  <c:v>17.100000000000001</c:v>
                </c:pt>
                <c:pt idx="2">
                  <c:v>15.2</c:v>
                </c:pt>
                <c:pt idx="3">
                  <c:v>15.3</c:v>
                </c:pt>
                <c:pt idx="4">
                  <c:v>14.6</c:v>
                </c:pt>
                <c:pt idx="5">
                  <c:v>14.6</c:v>
                </c:pt>
              </c:numCache>
            </c:numRef>
          </c:val>
        </c:ser>
        <c:ser>
          <c:idx val="3"/>
          <c:order val="3"/>
          <c:tx>
            <c:strRef>
              <c:f>'[9]37_psl_a+'!$A$5</c:f>
              <c:strCache>
                <c:ptCount val="1"/>
                <c:pt idx="0">
                  <c:v>Išankstinės senatvės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-1.5529708356384802E-3"/>
                  <c:y val="1.43754977182761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'[9]37_psl_a+'!$B$1:$G$1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'[9]37_psl_a+'!$B$5:$G$5</c:f>
              <c:numCache>
                <c:formatCode>General</c:formatCode>
                <c:ptCount val="6"/>
                <c:pt idx="0">
                  <c:v>6.1</c:v>
                </c:pt>
                <c:pt idx="1">
                  <c:v>5</c:v>
                </c:pt>
                <c:pt idx="2">
                  <c:v>3</c:v>
                </c:pt>
                <c:pt idx="3">
                  <c:v>2.2999999999999998</c:v>
                </c:pt>
                <c:pt idx="4">
                  <c:v>2.2000000000000002</c:v>
                </c:pt>
                <c:pt idx="5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4774504"/>
        <c:axId val="274774896"/>
      </c:barChart>
      <c:lineChart>
        <c:grouping val="standard"/>
        <c:varyColors val="0"/>
        <c:ser>
          <c:idx val="4"/>
          <c:order val="4"/>
          <c:tx>
            <c:strRef>
              <c:f>'[9]37_psl_a+'!$A$6</c:f>
              <c:strCache>
                <c:ptCount val="1"/>
                <c:pt idx="0">
                  <c:v>Iš viso</c:v>
                </c:pt>
              </c:strCache>
            </c:strRef>
          </c:tx>
          <c:spPr>
            <a:ln w="12700">
              <a:solidFill>
                <a:schemeClr val="accent2">
                  <a:lumMod val="50000"/>
                </a:schemeClr>
              </a:solidFill>
              <a:prstDash val="solid"/>
            </a:ln>
          </c:spPr>
          <c:marker>
            <c:symbol val="diamond"/>
            <c:size val="5"/>
            <c:spPr>
              <a:solidFill>
                <a:schemeClr val="accent2">
                  <a:lumMod val="50000"/>
                </a:schemeClr>
              </a:solidFill>
              <a:ln>
                <a:solidFill>
                  <a:schemeClr val="accent2">
                    <a:lumMod val="50000"/>
                  </a:schemeClr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'[9]37_psl_a+'!$B$1:$G$1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'[9]37_psl_a+'!$B$6:$G$6</c:f>
              <c:numCache>
                <c:formatCode>General</c:formatCode>
                <c:ptCount val="6"/>
                <c:pt idx="0">
                  <c:v>60.5</c:v>
                </c:pt>
                <c:pt idx="1">
                  <c:v>58.300000000000004</c:v>
                </c:pt>
                <c:pt idx="2">
                  <c:v>48.1</c:v>
                </c:pt>
                <c:pt idx="3">
                  <c:v>47.5</c:v>
                </c:pt>
                <c:pt idx="4">
                  <c:v>45.2</c:v>
                </c:pt>
                <c:pt idx="5">
                  <c:v>45.1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774504"/>
        <c:axId val="274774896"/>
      </c:lineChart>
      <c:catAx>
        <c:axId val="274774504"/>
        <c:scaling>
          <c:orientation val="minMax"/>
        </c:scaling>
        <c:delete val="0"/>
        <c:axPos val="b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74774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4774896"/>
        <c:scaling>
          <c:orientation val="minMax"/>
          <c:max val="7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en-US" sz="10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Tūkst.</a:t>
                </a:r>
              </a:p>
            </c:rich>
          </c:tx>
          <c:layout>
            <c:manualLayout>
              <c:xMode val="edge"/>
              <c:yMode val="edge"/>
              <c:x val="4.1541602171523435E-3"/>
              <c:y val="0.37621408102430309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74774504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"/>
          <c:y val="0.88607081778778662"/>
          <c:w val="0.96695919420328869"/>
          <c:h val="8.6550468616572618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ea typeface="TimesLT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1" l="0.75" r="0.75" t="0.61" header="0.5" footer="0.5"/>
    <c:pageSetup paperSize="9" orientation="landscape" horizontalDpi="-4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SENATVĖS PENSIJŲ GAVĖJŲ SKAIČIAUS PASISKIRSTYMAS
 PAGAL AMŽIAUS GRUPES
201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m. gruodis</a:t>
            </a:r>
          </a:p>
        </c:rich>
      </c:tx>
      <c:layout>
        <c:manualLayout>
          <c:xMode val="edge"/>
          <c:yMode val="edge"/>
          <c:x val="0.16266482614760011"/>
          <c:y val="3.14960629921259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017077649682478E-2"/>
          <c:y val="0.19313421588724766"/>
          <c:w val="0.89853778316160904"/>
          <c:h val="0.6648417852877879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771410876583425E-2"/>
                  <c:y val="-3.8652240817951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4.0808127197600075E-2"/>
                  <c:y val="-3.22238187379862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3.5754605123372252E-2"/>
                  <c:y val="-4.00140259119855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3.5503422802039671E-2"/>
                  <c:y val="-4.03739678525585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3.6801591476833109E-2"/>
                  <c:y val="-3.933968108001098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4586423704173466E-2"/>
                  <c:y val="-3.33457222956620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3.1201253160252913E-2"/>
                  <c:y val="-4.67120077143641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l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'[9]37_psl_b+'!$B$1:$B$7</c:f>
              <c:strCache>
                <c:ptCount val="7"/>
                <c:pt idx="0">
                  <c:v>60-65</c:v>
                </c:pt>
                <c:pt idx="1">
                  <c:v>65-70</c:v>
                </c:pt>
                <c:pt idx="2">
                  <c:v>70-75</c:v>
                </c:pt>
                <c:pt idx="3">
                  <c:v>75-80</c:v>
                </c:pt>
                <c:pt idx="4">
                  <c:v>80-85</c:v>
                </c:pt>
                <c:pt idx="5">
                  <c:v>85-90</c:v>
                </c:pt>
                <c:pt idx="6">
                  <c:v>Virš 90</c:v>
                </c:pt>
              </c:strCache>
            </c:strRef>
          </c:cat>
          <c:val>
            <c:numRef>
              <c:f>'[9]37_psl_b+'!$D$1:$D$7</c:f>
              <c:numCache>
                <c:formatCode>General</c:formatCode>
                <c:ptCount val="7"/>
                <c:pt idx="0">
                  <c:v>0.1474604967086883</c:v>
                </c:pt>
                <c:pt idx="1">
                  <c:v>0.22530928933507616</c:v>
                </c:pt>
                <c:pt idx="2">
                  <c:v>0.20174742391725661</c:v>
                </c:pt>
                <c:pt idx="3">
                  <c:v>0.18569441391495781</c:v>
                </c:pt>
                <c:pt idx="4">
                  <c:v>0.1353758538701228</c:v>
                </c:pt>
                <c:pt idx="5">
                  <c:v>7.6244666195720207E-2</c:v>
                </c:pt>
                <c:pt idx="6">
                  <c:v>2.816785605817811E-2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484624"/>
        <c:axId val="280485016"/>
      </c:lineChart>
      <c:catAx>
        <c:axId val="280484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lt-LT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Amžiaus grupės</a:t>
                </a:r>
              </a:p>
            </c:rich>
          </c:tx>
          <c:layout>
            <c:manualLayout>
              <c:xMode val="edge"/>
              <c:yMode val="edge"/>
              <c:x val="0.39572225323017118"/>
              <c:y val="0.9405799822467447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80485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8501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en-US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6.3658745752207344E-3"/>
              <c:y val="0.40216334272084597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80484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55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r>
              <a:rPr lang="lt-LT"/>
              <a:t>SENATVĖS PENSIJŲ GAVĖJŲ SKAIČIAUS PASISKIRSTYMAS
 PAGAL AMŽIAUS GRUPES
2009 m. sausis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 algn="l">
                  <a:defRPr sz="200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'36_psl a+'!#REF!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'36_psl a+'!#REF!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485800"/>
        <c:axId val="280486192"/>
      </c:lineChart>
      <c:catAx>
        <c:axId val="280485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r>
                  <a:rPr lang="lt-LT"/>
                  <a:t>Amžiaus grupės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endParaRPr lang="lt-LT"/>
          </a:p>
        </c:txPr>
        <c:crossAx val="280486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8619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r>
                  <a:rPr lang="lt-LT"/>
                  <a:t>Procentai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endParaRPr lang="lt-LT"/>
          </a:p>
        </c:txPr>
        <c:crossAx val="280485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30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SENATVĖS PENSIJŲ GAVĖJŲ, TURINČIŲ BŪTINĄJĮ STAŽĄ, SKAIČIAUS PASISKIRSTYMAS PAGAL PENSIJOS DYDĮ </a:t>
            </a:r>
            <a:endParaRPr lang="lt-LT" sz="1200" b="1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24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201</a:t>
            </a:r>
            <a:r>
              <a:rPr lang="lt-LT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m. gruodis</a:t>
            </a:r>
            <a:endParaRPr lang="en-US" sz="24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2316729403574324"/>
          <c:y val="2.17573240981638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689974443863966E-2"/>
          <c:y val="0.20739046101261308"/>
          <c:w val="0.89387945561130644"/>
          <c:h val="0.6543774588351510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7711053989501769E-2"/>
                  <c:y val="-3.49601165865403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5.6198689314474255E-2"/>
                  <c:y val="-4.57756095127357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2.7649231785996188E-2"/>
                  <c:y val="-3.7546952526783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4984129178091258E-2"/>
                  <c:y val="-3.0593329628736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1.9933107200307432E-2"/>
                  <c:y val="-2.725833412740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5334318120825615E-2"/>
                  <c:y val="-2.35899239556945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3760356833630701E-2"/>
                  <c:y val="-3.10526069616207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2.3319311521582536E-2"/>
                  <c:y val="-3.46406152185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3.3822051888029885E-2"/>
                  <c:y val="-4.75859559378667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2.9963989595185501E-2"/>
                  <c:y val="-2.87580709864480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3.3307572664528044E-2"/>
                  <c:y val="-4.325929777645718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1.0204358929481658E-2"/>
                  <c:y val="-3.72456928580537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Mode val="edge"/>
                  <c:yMode val="edge"/>
                  <c:x val="0.83333458920263848"/>
                  <c:y val="0.62735921303712439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0"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'[9]38_psl a+'!$A$4:$A$14</c:f>
              <c:strCache>
                <c:ptCount val="11"/>
                <c:pt idx="0">
                  <c:v>iki 175</c:v>
                </c:pt>
                <c:pt idx="1">
                  <c:v>175-200</c:v>
                </c:pt>
                <c:pt idx="2">
                  <c:v>200-225</c:v>
                </c:pt>
                <c:pt idx="3">
                  <c:v>225-250</c:v>
                </c:pt>
                <c:pt idx="4">
                  <c:v>250-275</c:v>
                </c:pt>
                <c:pt idx="5">
                  <c:v>275-300</c:v>
                </c:pt>
                <c:pt idx="6">
                  <c:v>300-325</c:v>
                </c:pt>
                <c:pt idx="7">
                  <c:v>325-350</c:v>
                </c:pt>
                <c:pt idx="8">
                  <c:v>350-400</c:v>
                </c:pt>
                <c:pt idx="9">
                  <c:v>400-500</c:v>
                </c:pt>
                <c:pt idx="10">
                  <c:v>Virš 500</c:v>
                </c:pt>
              </c:strCache>
            </c:strRef>
          </c:cat>
          <c:val>
            <c:numRef>
              <c:f>'[9]38_psl a+'!$C$4:$C$14</c:f>
              <c:numCache>
                <c:formatCode>General</c:formatCode>
                <c:ptCount val="11"/>
                <c:pt idx="0">
                  <c:v>3.8937942078289135E-2</c:v>
                </c:pt>
                <c:pt idx="1">
                  <c:v>0.12348489600436867</c:v>
                </c:pt>
                <c:pt idx="2">
                  <c:v>0.16933005191479628</c:v>
                </c:pt>
                <c:pt idx="3">
                  <c:v>0.1650056637677523</c:v>
                </c:pt>
                <c:pt idx="4">
                  <c:v>0.13995225462233554</c:v>
                </c:pt>
                <c:pt idx="5">
                  <c:v>0.11166662361957191</c:v>
                </c:pt>
                <c:pt idx="6">
                  <c:v>8.2406898358429792E-2</c:v>
                </c:pt>
                <c:pt idx="7">
                  <c:v>5.6883045963227942E-2</c:v>
                </c:pt>
                <c:pt idx="8">
                  <c:v>6.0628143206614984E-2</c:v>
                </c:pt>
                <c:pt idx="9">
                  <c:v>3.5698340718984874E-2</c:v>
                </c:pt>
                <c:pt idx="10">
                  <c:v>1.6006139745628568E-2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486976"/>
        <c:axId val="280487368"/>
      </c:lineChart>
      <c:catAx>
        <c:axId val="280486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en-US" sz="105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Pensijos dydis,</a:t>
                </a:r>
                <a:r>
                  <a:rPr lang="lt-LT" sz="105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Eur</a:t>
                </a:r>
                <a:endParaRPr lang="en-US" sz="105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0172478035610493"/>
              <c:y val="0.9402818289524728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80487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0487368"/>
        <c:scaling>
          <c:orientation val="minMax"/>
          <c:max val="0.17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TimesLT"/>
                    <a:cs typeface="Times New Roman" panose="02020603050405020304" pitchFamily="18" charset="0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7.716049382716049E-3"/>
              <c:y val="0.36792502352300299"/>
            </c:manualLayout>
          </c:layout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LT"/>
                <a:cs typeface="Times New Roman" panose="02020603050405020304" pitchFamily="18" charset="0"/>
              </a:defRPr>
            </a:pPr>
            <a:endParaRPr lang="lt-LT"/>
          </a:p>
        </c:txPr>
        <c:crossAx val="280486976"/>
        <c:crosses val="autoZero"/>
        <c:crossBetween val="between"/>
        <c:majorUnit val="0.03"/>
        <c:minorUnit val="5.0000000000000001E-3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70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1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r>
              <a:rPr lang="lt-LT"/>
              <a:t>SENATVĖS PENSIJŲ GAVĖJŲ SKAIČIAUS PASISKIRSTYMAS
 PAGAL AMŽIAUS GRUPES
2009 m. sausis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 algn="l">
                  <a:defRPr sz="200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'36_psl a+'!#REF!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'36_psl a+'!#REF!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488152"/>
        <c:axId val="284623344"/>
      </c:lineChart>
      <c:catAx>
        <c:axId val="280488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r>
                  <a:rPr lang="lt-LT"/>
                  <a:t>Amžiaus grupės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endParaRPr lang="lt-LT"/>
          </a:p>
        </c:txPr>
        <c:crossAx val="2846233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846233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LT"/>
                    <a:ea typeface="TimesLT"/>
                    <a:cs typeface="TimesLT"/>
                  </a:defRPr>
                </a:pPr>
                <a:r>
                  <a:rPr lang="lt-LT"/>
                  <a:t>Procentai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TimesLT"/>
                <a:ea typeface="TimesLT"/>
                <a:cs typeface="TimesLT"/>
              </a:defRPr>
            </a:pPr>
            <a:endParaRPr lang="lt-LT"/>
          </a:p>
        </c:txPr>
        <c:crossAx val="280488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300" b="0" i="0" u="none" strike="noStrike" baseline="0">
          <a:solidFill>
            <a:srgbClr val="000000"/>
          </a:solidFill>
          <a:latin typeface="TimesLT"/>
          <a:ea typeface="TimesLT"/>
          <a:cs typeface="TimesLT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1074537437988902E-2"/>
          <c:y val="0.16365037235387547"/>
          <c:w val="0.83903931753196537"/>
          <c:h val="0.6498943262640466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'[9]38_psl_b+'!$A$2</c:f>
              <c:strCache>
                <c:ptCount val="1"/>
                <c:pt idx="0">
                  <c:v>Senatvės pensija, turint būtinąjį stažą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5.603113389808598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9.338522316347663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9.3385223163476635E-3"/>
                  <c:y val="-1.1310922404015899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1206226779617197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##,#0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'[9]38_psl_b+'!$N$1:$S$1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'[9]38_psl_b+'!$N$2:$S$2</c:f>
              <c:numCache>
                <c:formatCode>General</c:formatCode>
                <c:ptCount val="6"/>
                <c:pt idx="0">
                  <c:v>221.5</c:v>
                </c:pt>
                <c:pt idx="1">
                  <c:v>222.53</c:v>
                </c:pt>
                <c:pt idx="2">
                  <c:v>243.83</c:v>
                </c:pt>
                <c:pt idx="3">
                  <c:v>246.43</c:v>
                </c:pt>
                <c:pt idx="4">
                  <c:v>249.42</c:v>
                </c:pt>
                <c:pt idx="5">
                  <c:v>254.33</c:v>
                </c:pt>
              </c:numCache>
            </c:numRef>
          </c:val>
        </c:ser>
        <c:ser>
          <c:idx val="0"/>
          <c:order val="1"/>
          <c:tx>
            <c:strRef>
              <c:f>'[9]38_psl_b+'!$A$3</c:f>
              <c:strCache>
                <c:ptCount val="1"/>
                <c:pt idx="0">
                  <c:v>Šalies vid. darbo užmokestis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6.5632071641887457E-3"/>
                  <c:y val="-3.81628352793932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Mode val="edge"/>
                  <c:yMode val="edge"/>
                  <c:x val="0.8070444104134763"/>
                  <c:y val="9.25553319919517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'[9]38_psl_b+'!$N$1:$S$1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'[9]38_psl_b+'!$N$3:$S$3</c:f>
              <c:numCache>
                <c:formatCode>General</c:formatCode>
                <c:ptCount val="6"/>
                <c:pt idx="0">
                  <c:v>575.79999999999995</c:v>
                </c:pt>
                <c:pt idx="1">
                  <c:v>592.5</c:v>
                </c:pt>
                <c:pt idx="2">
                  <c:v>615.1</c:v>
                </c:pt>
                <c:pt idx="3">
                  <c:v>646.29999999999995</c:v>
                </c:pt>
                <c:pt idx="4">
                  <c:v>677.4</c:v>
                </c:pt>
                <c:pt idx="5">
                  <c:v>712.1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4624128"/>
        <c:axId val="284624520"/>
      </c:barChart>
      <c:lineChart>
        <c:grouping val="standard"/>
        <c:varyColors val="0"/>
        <c:ser>
          <c:idx val="2"/>
          <c:order val="2"/>
          <c:tx>
            <c:strRef>
              <c:f>'[9]38_psl_b+'!$A$4</c:f>
              <c:strCache>
                <c:ptCount val="1"/>
                <c:pt idx="0">
                  <c:v>Santykis</c:v>
                </c:pt>
              </c:strCache>
            </c:strRef>
          </c:tx>
          <c:spPr>
            <a:ln w="12700">
              <a:solidFill>
                <a:srgbClr val="003366"/>
              </a:solidFill>
              <a:prstDash val="solid"/>
            </a:ln>
          </c:spPr>
          <c:marker>
            <c:symbol val="triangle"/>
            <c:size val="7"/>
            <c:spPr>
              <a:solidFill>
                <a:srgbClr val="003366"/>
              </a:solidFill>
              <a:ln>
                <a:solidFill>
                  <a:srgbClr val="003366"/>
                </a:solidFill>
                <a:prstDash val="solid"/>
              </a:ln>
            </c:spPr>
          </c:marker>
          <c:dLbls>
            <c:numFmt formatCode="##,#0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Times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'[9]38_psl_b+'!$N$1:$S$1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'[9]38_psl_b+'!$N$4:$S$4</c:f>
              <c:numCache>
                <c:formatCode>General</c:formatCode>
                <c:ptCount val="6"/>
                <c:pt idx="0">
                  <c:v>38.468218131295586</c:v>
                </c:pt>
                <c:pt idx="1">
                  <c:v>37.557805907172998</c:v>
                </c:pt>
                <c:pt idx="2">
                  <c:v>39.640708827832874</c:v>
                </c:pt>
                <c:pt idx="3">
                  <c:v>38.129351694259633</c:v>
                </c:pt>
                <c:pt idx="4">
                  <c:v>36.820194862710366</c:v>
                </c:pt>
                <c:pt idx="5">
                  <c:v>35.715489397556524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4624912"/>
        <c:axId val="284625304"/>
      </c:lineChart>
      <c:catAx>
        <c:axId val="284624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lt-LT"/>
          </a:p>
        </c:txPr>
        <c:crossAx val="28462452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284624520"/>
        <c:scaling>
          <c:orientation val="minMax"/>
          <c:max val="1000"/>
        </c:scaling>
        <c:delete val="0"/>
        <c:axPos val="l"/>
        <c:numFmt formatCode="#,##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lt-LT"/>
          </a:p>
        </c:txPr>
        <c:crossAx val="284624128"/>
        <c:crosses val="autoZero"/>
        <c:crossBetween val="between"/>
      </c:valAx>
      <c:catAx>
        <c:axId val="284624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84625304"/>
        <c:crossesAt val="0"/>
        <c:auto val="0"/>
        <c:lblAlgn val="ctr"/>
        <c:lblOffset val="100"/>
        <c:noMultiLvlLbl val="0"/>
      </c:catAx>
      <c:valAx>
        <c:axId val="284625304"/>
        <c:scaling>
          <c:orientation val="minMax"/>
          <c:max val="41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Arial"/>
                    <a:cs typeface="Times New Roman" panose="02020603050405020304" pitchFamily="18" charset="0"/>
                  </a:defRPr>
                </a:pP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Procentai</a:t>
                </a:r>
              </a:p>
            </c:rich>
          </c:tx>
          <c:layout>
            <c:manualLayout>
              <c:xMode val="edge"/>
              <c:yMode val="edge"/>
              <c:x val="0.96018376722817766"/>
              <c:y val="0.44064386317907445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lt-LT"/>
          </a:p>
        </c:txPr>
        <c:crossAx val="284624912"/>
        <c:crosses val="max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.1684533170786951"/>
          <c:y val="0.87417866330557548"/>
          <c:w val="0.66309341500765706"/>
          <c:h val="0.1126760563380281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Times"/>
              <a:ea typeface="Times"/>
              <a:cs typeface="Times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lt-LT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paperSize="9" orientation="landscape" verticalDpi="4"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APMOKĖTŲ LIGOS DIENŲ SKAI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ČIUS 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VIENAM APDRAUSTAJAM     </a:t>
            </a:r>
            <a:endParaRPr lang="lt-LT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1200"/>
            </a:pP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2010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-201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m.</a:t>
            </a:r>
            <a:endParaRPr lang="lt-LT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2590332762312756"/>
          <c:y val="2.185788853142792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0612488770876103E-2"/>
          <c:y val="0.13239656518345044"/>
          <c:w val="0.92985799229835175"/>
          <c:h val="0.664813783522961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'26 psl.'!$E$4</c:f>
              <c:strCache>
                <c:ptCount val="1"/>
                <c:pt idx="0">
                  <c:v>Apmokėtų ligos dienų skaičius vienam apdraustajam 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'26 psl.'!$D$10:$D$15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'26 psl.'!$E$10:$E$15</c:f>
              <c:numCache>
                <c:formatCode>General</c:formatCode>
                <c:ptCount val="6"/>
                <c:pt idx="0" formatCode="0.00">
                  <c:v>5.24</c:v>
                </c:pt>
                <c:pt idx="1">
                  <c:v>5.32</c:v>
                </c:pt>
                <c:pt idx="2">
                  <c:v>5.44</c:v>
                </c:pt>
                <c:pt idx="3">
                  <c:v>6.01</c:v>
                </c:pt>
                <c:pt idx="4" formatCode="0.00">
                  <c:v>6</c:v>
                </c:pt>
                <c:pt idx="5">
                  <c:v>7.24</c:v>
                </c:pt>
              </c:numCache>
            </c:numRef>
          </c:val>
        </c:ser>
        <c:ser>
          <c:idx val="1"/>
          <c:order val="1"/>
          <c:tx>
            <c:strRef>
              <c:f>'26 psl.'!$F$4</c:f>
              <c:strCache>
                <c:ptCount val="1"/>
                <c:pt idx="0">
                  <c:v>Apmokėtų dienų dėl nelaimingų atsitikimų darbe skaičius vienam apdraustajam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solidFill>
                <a:schemeClr val="tx1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'26 psl.'!$D$10:$D$15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'26 psl.'!$F$10:$F$15</c:f>
              <c:numCache>
                <c:formatCode>General</c:formatCode>
                <c:ptCount val="6"/>
                <c:pt idx="0">
                  <c:v>0.19</c:v>
                </c:pt>
                <c:pt idx="1">
                  <c:v>0.19</c:v>
                </c:pt>
                <c:pt idx="2">
                  <c:v>0.17</c:v>
                </c:pt>
                <c:pt idx="3" formatCode="0.00">
                  <c:v>0.2</c:v>
                </c:pt>
                <c:pt idx="4">
                  <c:v>0.15</c:v>
                </c:pt>
                <c:pt idx="5">
                  <c:v>0.17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284626480"/>
        <c:axId val="284626872"/>
      </c:barChart>
      <c:catAx>
        <c:axId val="28462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000"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84626872"/>
        <c:crosses val="autoZero"/>
        <c:auto val="1"/>
        <c:lblAlgn val="ctr"/>
        <c:lblOffset val="100"/>
        <c:noMultiLvlLbl val="0"/>
      </c:catAx>
      <c:valAx>
        <c:axId val="284626872"/>
        <c:scaling>
          <c:orientation val="minMax"/>
        </c:scaling>
        <c:delete val="0"/>
        <c:axPos val="l"/>
        <c:numFmt formatCode="#.#00" sourceLinked="0"/>
        <c:majorTickMark val="none"/>
        <c:minorTickMark val="none"/>
        <c:tickLblPos val="nextTo"/>
        <c:spPr>
          <a:ln w="9525">
            <a:solidFill>
              <a:sysClr val="windowText" lastClr="000000"/>
            </a:solidFill>
          </a:ln>
        </c:spPr>
        <c:txPr>
          <a:bodyPr/>
          <a:lstStyle/>
          <a:p>
            <a:pPr>
              <a:defRPr sz="10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8462648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6562136442697428"/>
          <c:y val="0.89561796578706354"/>
          <c:w val="0.60484248191807"/>
          <c:h val="8.5646671215278414E-2"/>
        </c:manualLayout>
      </c:layout>
      <c:overlay val="0"/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Darbdavių apmokėtos ligos pašalpos 20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10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 -201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 metais (tūkst. Eur)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'[10]52 psl.'!$A$3</c:f>
              <c:strCache>
                <c:ptCount val="1"/>
                <c:pt idx="0">
                  <c:v>Darbdavių apmokėtos ligos pašalpos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dLbls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'[10]52 psl.'!$B$2:$G$2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'[10]52 psl.'!$B$3:$G$3</c:f>
              <c:numCache>
                <c:formatCode>General</c:formatCode>
                <c:ptCount val="6"/>
                <c:pt idx="0">
                  <c:v>12205.72646</c:v>
                </c:pt>
                <c:pt idx="1">
                  <c:v>14289.1752</c:v>
                </c:pt>
                <c:pt idx="2">
                  <c:v>13937.658090000001</c:v>
                </c:pt>
                <c:pt idx="3">
                  <c:v>18942.704020000001</c:v>
                </c:pt>
                <c:pt idx="4">
                  <c:v>18176.364290000001</c:v>
                </c:pt>
                <c:pt idx="5">
                  <c:v>31415.302540000001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282335648"/>
        <c:axId val="282336040"/>
      </c:barChart>
      <c:catAx>
        <c:axId val="282335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82336040"/>
        <c:crosses val="autoZero"/>
        <c:auto val="1"/>
        <c:lblAlgn val="ctr"/>
        <c:lblOffset val="100"/>
        <c:noMultiLvlLbl val="0"/>
      </c:catAx>
      <c:valAx>
        <c:axId val="2823360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8233564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 New Roman Baltic"/>
                <a:cs typeface="Times New Roman" panose="02020603050405020304" pitchFamily="18" charset="0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MOTINYSTĖS PAŠALPŲ GAVĖJŲ SKAIČIAUS KITIMAS</a:t>
            </a:r>
          </a:p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 New Roman Baltic"/>
                <a:cs typeface="Times New Roman" panose="02020603050405020304" pitchFamily="18" charset="0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2010-2015 m. </a:t>
            </a:r>
          </a:p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ea typeface="Times New Roman Baltic"/>
                <a:cs typeface="Times New Roman" panose="02020603050405020304" pitchFamily="18" charset="0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</a:p>
        </c:rich>
      </c:tx>
      <c:layout>
        <c:manualLayout>
          <c:xMode val="edge"/>
          <c:yMode val="edge"/>
          <c:x val="0.2182228402552043"/>
          <c:y val="2.847571189279731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241880603359975E-2"/>
          <c:y val="0.11993937545961653"/>
          <c:w val="0.86839192803092924"/>
          <c:h val="0.67142136530563468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'[10]53 psl.'!$B$1</c:f>
              <c:strCache>
                <c:ptCount val="1"/>
                <c:pt idx="0">
                  <c:v>Gimusių skaičius (tūkst.žm.)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1"/>
              <c:layout>
                <c:manualLayout>
                  <c:x val="-1.4925373134328358E-3"/>
                  <c:y val="-4.5558086560364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sz="1050" b="1">
                        <a:solidFill>
                          <a:sysClr val="windowText" lastClr="000000"/>
                        </a:solidFill>
                      </a:rPr>
                      <a:t>32,1</a:t>
                    </a:r>
                    <a:endParaRPr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ysClr val="windowText" lastClr="000000"/>
                    </a:solidFill>
                    <a:latin typeface="Times New Roman Baltic"/>
                    <a:ea typeface="Times New Roman Baltic"/>
                    <a:cs typeface="Times New Roman Baltic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'[10]53 psl.'!$A$5:$A$10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'[10]53 psl.'!$B$5:$B$10</c:f>
              <c:numCache>
                <c:formatCode>General</c:formatCode>
                <c:ptCount val="6"/>
                <c:pt idx="0">
                  <c:v>30.7</c:v>
                </c:pt>
                <c:pt idx="1">
                  <c:v>30.3</c:v>
                </c:pt>
                <c:pt idx="2">
                  <c:v>30.5</c:v>
                </c:pt>
                <c:pt idx="3">
                  <c:v>29.9</c:v>
                </c:pt>
                <c:pt idx="4">
                  <c:v>30.4</c:v>
                </c:pt>
                <c:pt idx="5">
                  <c:v>31.5</c:v>
                </c:pt>
              </c:numCache>
            </c:numRef>
          </c:val>
        </c:ser>
        <c:ser>
          <c:idx val="0"/>
          <c:order val="1"/>
          <c:tx>
            <c:strRef>
              <c:f>'[10]53 psl.'!$C$1</c:f>
              <c:strCache>
                <c:ptCount val="1"/>
                <c:pt idx="0">
                  <c:v>Motinystės pašalpų gavėjų skaičius (tūkst.žm.)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'[10]53 psl.'!$A$5:$A$10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'[10]53 psl.'!$C$5:$C$10</c:f>
              <c:numCache>
                <c:formatCode>General</c:formatCode>
                <c:ptCount val="6"/>
                <c:pt idx="0">
                  <c:v>24.1</c:v>
                </c:pt>
                <c:pt idx="1">
                  <c:v>20.3</c:v>
                </c:pt>
                <c:pt idx="2">
                  <c:v>19.399999999999999</c:v>
                </c:pt>
                <c:pt idx="3">
                  <c:v>19</c:v>
                </c:pt>
                <c:pt idx="4">
                  <c:v>20</c:v>
                </c:pt>
                <c:pt idx="5">
                  <c:v>21.603999999999999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2336432"/>
        <c:axId val="282337216"/>
      </c:barChart>
      <c:lineChart>
        <c:grouping val="standard"/>
        <c:varyColors val="0"/>
        <c:ser>
          <c:idx val="2"/>
          <c:order val="2"/>
          <c:tx>
            <c:strRef>
              <c:f>'[10]53 psl.'!$D$1</c:f>
              <c:strCache>
                <c:ptCount val="1"/>
                <c:pt idx="0">
                  <c:v>Motinų, gaunančių motinystės pašalpas procentas </c:v>
                </c:pt>
              </c:strCache>
            </c:strRef>
          </c:tx>
          <c:spPr>
            <a:ln w="22225">
              <a:solidFill>
                <a:schemeClr val="accent2">
                  <a:lumMod val="75000"/>
                </a:schemeClr>
              </a:solidFill>
              <a:prstDash val="solid"/>
            </a:ln>
          </c:spPr>
          <c:marker>
            <c:symbol val="diamond"/>
            <c:size val="7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75000"/>
                  </a:schemeClr>
                </a:solidFill>
                <a:prstDash val="solid"/>
              </a:ln>
            </c:spPr>
          </c:marker>
          <c:dLbls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/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'[10]53 psl.'!$A$5:$A$10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'[10]53 psl.'!$D$5:$D$10</c:f>
              <c:numCache>
                <c:formatCode>General</c:formatCode>
                <c:ptCount val="6"/>
                <c:pt idx="0">
                  <c:v>78.5</c:v>
                </c:pt>
                <c:pt idx="1">
                  <c:v>67</c:v>
                </c:pt>
                <c:pt idx="2">
                  <c:v>63.6</c:v>
                </c:pt>
                <c:pt idx="3">
                  <c:v>63.5</c:v>
                </c:pt>
                <c:pt idx="4">
                  <c:v>65.8</c:v>
                </c:pt>
                <c:pt idx="5">
                  <c:v>68.599999999999994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2337608"/>
        <c:axId val="282338000"/>
      </c:lineChart>
      <c:catAx>
        <c:axId val="28233643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 Baltic"/>
                <a:ea typeface="Times New Roman Baltic"/>
                <a:cs typeface="Times New Roman Baltic"/>
              </a:defRPr>
            </a:pPr>
            <a:endParaRPr lang="lt-LT"/>
          </a:p>
        </c:txPr>
        <c:crossAx val="2823372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82337216"/>
        <c:scaling>
          <c:orientation val="minMax"/>
          <c:max val="50"/>
        </c:scaling>
        <c:delete val="0"/>
        <c:axPos val="l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Times New Roman Baltic"/>
                    <a:ea typeface="Times New Roman Baltic"/>
                    <a:cs typeface="Times New Roman Baltic"/>
                  </a:defRPr>
                </a:pPr>
                <a:r>
                  <a:rPr lang="lt-LT" sz="1000"/>
                  <a:t>tūkst. žmonių</a:t>
                </a:r>
              </a:p>
            </c:rich>
          </c:tx>
          <c:layout>
            <c:manualLayout>
              <c:xMode val="edge"/>
              <c:yMode val="edge"/>
              <c:x val="5.1153207298363056E-3"/>
              <c:y val="0.3735400733920687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 Baltic"/>
                <a:ea typeface="Times New Roman Baltic"/>
                <a:cs typeface="Times New Roman Baltic"/>
              </a:defRPr>
            </a:pPr>
            <a:endParaRPr lang="lt-LT"/>
          </a:p>
        </c:txPr>
        <c:crossAx val="282336432"/>
        <c:crosses val="autoZero"/>
        <c:crossBetween val="between"/>
      </c:valAx>
      <c:catAx>
        <c:axId val="282337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82338000"/>
        <c:crosses val="autoZero"/>
        <c:auto val="0"/>
        <c:lblAlgn val="ctr"/>
        <c:lblOffset val="100"/>
        <c:noMultiLvlLbl val="0"/>
      </c:catAx>
      <c:valAx>
        <c:axId val="282338000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Times New Roman Baltic"/>
                    <a:ea typeface="Times New Roman Baltic"/>
                    <a:cs typeface="Times New Roman Baltic"/>
                  </a:defRPr>
                </a:pPr>
                <a:r>
                  <a:rPr lang="lt-LT"/>
                  <a:t>procentai</a:t>
                </a:r>
              </a:p>
            </c:rich>
          </c:tx>
          <c:layout>
            <c:manualLayout>
              <c:xMode val="edge"/>
              <c:yMode val="edge"/>
              <c:x val="0.97090975946847236"/>
              <c:y val="0.407083382856005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 Baltic"/>
                <a:ea typeface="Times New Roman Baltic"/>
                <a:cs typeface="Times New Roman Baltic"/>
              </a:defRPr>
            </a:pPr>
            <a:endParaRPr lang="lt-LT"/>
          </a:p>
        </c:txPr>
        <c:crossAx val="282337608"/>
        <c:crosses val="max"/>
        <c:crossBetween val="between"/>
      </c:valAx>
      <c:spPr>
        <a:noFill/>
        <a:ln w="12700">
          <a:solidFill>
            <a:srgbClr val="FFFFFF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6928628510988367"/>
          <c:y val="0.85805799757891621"/>
          <c:w val="0.58641144670349044"/>
          <c:h val="0.1120217746130253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 Baltic"/>
              <a:ea typeface="Times New Roman Baltic"/>
              <a:cs typeface="Times New Roman Baltic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 Baltic"/>
          <a:ea typeface="Times New Roman Baltic"/>
          <a:cs typeface="Times New Roman Baltic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 verticalDpi="4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/>
              <a:t>Motinystės (tėvystės) pašalpų vidutinis mėnesinis gavėjų skaičius 2010-2015 m.</a:t>
            </a:r>
          </a:p>
        </c:rich>
      </c:tx>
      <c:layout>
        <c:manualLayout>
          <c:xMode val="edge"/>
          <c:yMode val="edge"/>
          <c:x val="0.17442918595209009"/>
          <c:y val="2.408601171680160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1772228852587156E-2"/>
          <c:y val="0.17887331156776134"/>
          <c:w val="0.89940417774096038"/>
          <c:h val="0.719825875424108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'[10]54 psl.'!$A$3</c:f>
              <c:strCache>
                <c:ptCount val="1"/>
                <c:pt idx="0">
                  <c:v>Motinystės  (tėvystės) pašalpų vidutinio mėnesinio gavėjų skaičius 2010-2015 m.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'[10]54 psl.'!$C$2:$H$2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'[10]54 psl.'!$C$3:$H$3</c:f>
              <c:numCache>
                <c:formatCode>General</c:formatCode>
                <c:ptCount val="6"/>
                <c:pt idx="0">
                  <c:v>47741</c:v>
                </c:pt>
                <c:pt idx="1">
                  <c:v>43638</c:v>
                </c:pt>
                <c:pt idx="2">
                  <c:v>37839</c:v>
                </c:pt>
                <c:pt idx="3">
                  <c:v>35614</c:v>
                </c:pt>
                <c:pt idx="4">
                  <c:v>36236</c:v>
                </c:pt>
                <c:pt idx="5">
                  <c:v>37954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2338784"/>
        <c:axId val="291614256"/>
      </c:barChart>
      <c:catAx>
        <c:axId val="28233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000"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91614256"/>
        <c:crosses val="autoZero"/>
        <c:auto val="1"/>
        <c:lblAlgn val="ctr"/>
        <c:lblOffset val="100"/>
        <c:noMultiLvlLbl val="0"/>
      </c:catAx>
      <c:valAx>
        <c:axId val="291614256"/>
        <c:scaling>
          <c:orientation val="minMax"/>
          <c:max val="50000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82338784"/>
        <c:crosses val="autoZero"/>
        <c:crossBetween val="between"/>
        <c:majorUnit val="1000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 sz="1200"/>
              <a:t>NELAIMINGŲ ATSITIKIMŲ DARBE IR PROFESINIŲ LIGŲ SOCIALINIO DRAUDIMO IŠMOKŲ STRUKTŪRA 2015 METAIS</a:t>
            </a:r>
          </a:p>
        </c:rich>
      </c:tx>
      <c:layout>
        <c:manualLayout>
          <c:xMode val="edge"/>
          <c:yMode val="edge"/>
          <c:x val="0.12939297124600638"/>
          <c:y val="2.96442687747035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6847669551510143"/>
          <c:y val="0.40131758530183725"/>
          <c:w val="0.35942492012779553"/>
          <c:h val="0.44466403162055335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chemeClr val="accent4">
                  <a:lumMod val="20000"/>
                  <a:lumOff val="8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7.5372024183877978E-2"/>
                  <c:y val="-0.14510742481300509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Nelaimingų atsitikimų darbe ligos pašalpos
35,3%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.15603467933855192"/>
                  <c:y val="-0.140537103316631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Profesinių ligų  pašalpos
0,4%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.12461161742537284"/>
                  <c:y val="1.5756859937962189E-2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Periodinė draudimo išmoka apdraustajam mirus
3,3%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6263263010491036"/>
                  <c:y val="-3.2570508231925553E-2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Netekto darbingumo periodinė kompensacija
48,0%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0.19287206446133009"/>
                  <c:y val="0.12980577427821516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Vienkartinė draudimo išmoka apdraustajam mirus
9,9%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3.1021632500019131E-2"/>
                  <c:y val="-5.3163922691481749E-2"/>
                </c:manualLayout>
              </c:layout>
              <c:tx>
                <c:rich>
                  <a:bodyPr/>
                  <a:lstStyle/>
                  <a:p>
                    <a:r>
                      <a:rPr lang="lt-LT"/>
                      <a:t>Vienkartinės netekto darbingumo kompensacijos
3,1%</a:t>
                    </a:r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Mode val="edge"/>
                  <c:yMode val="edge"/>
                  <c:x val="0.46325878594249204"/>
                  <c:y val="0.1897233201581027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,#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'[12]59'!$C$34:$C$39</c:f>
              <c:strCache>
                <c:ptCount val="6"/>
                <c:pt idx="0">
                  <c:v>Nelaimingų atsitikimų darbe ligos pašalpos</c:v>
                </c:pt>
                <c:pt idx="1">
                  <c:v>Profesinių ligų  pašalpos</c:v>
                </c:pt>
                <c:pt idx="2">
                  <c:v>Periodinė draudimo išmoka apdraustajam mirus</c:v>
                </c:pt>
                <c:pt idx="3">
                  <c:v>Netekto darbingumo periodinė kompensacija</c:v>
                </c:pt>
                <c:pt idx="4">
                  <c:v>Vienkartinė draudimo išmoka apdraustajam mirus</c:v>
                </c:pt>
                <c:pt idx="5">
                  <c:v>Vienkartinės netekto darbingumo kompensacijos</c:v>
                </c:pt>
              </c:strCache>
            </c:strRef>
          </c:cat>
          <c:val>
            <c:numRef>
              <c:f>'[12]59'!$D$34:$D$39</c:f>
              <c:numCache>
                <c:formatCode>General</c:formatCode>
                <c:ptCount val="6"/>
                <c:pt idx="0">
                  <c:v>5936.0630000000001</c:v>
                </c:pt>
                <c:pt idx="1">
                  <c:v>66.447000000000003</c:v>
                </c:pt>
                <c:pt idx="2">
                  <c:v>557.88900000000001</c:v>
                </c:pt>
                <c:pt idx="3">
                  <c:v>8073.4589999999998</c:v>
                </c:pt>
                <c:pt idx="4">
                  <c:v>1671.877</c:v>
                </c:pt>
                <c:pt idx="5">
                  <c:v>529.17899999999997</c:v>
                </c:pt>
              </c:numCache>
            </c:numRef>
          </c:val>
        </c:ser>
        <c:ser>
          <c:idx val="1"/>
          <c:order val="1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Pt>
            <c:idx val="5"/>
            <c:bubble3D val="0"/>
          </c:dPt>
          <c:cat>
            <c:strRef>
              <c:f>'[12]59'!$C$34:$C$39</c:f>
              <c:strCache>
                <c:ptCount val="6"/>
                <c:pt idx="0">
                  <c:v>Nelaimingų atsitikimų darbe ligos pašalpos</c:v>
                </c:pt>
                <c:pt idx="1">
                  <c:v>Profesinių ligų  pašalpos</c:v>
                </c:pt>
                <c:pt idx="2">
                  <c:v>Periodinė draudimo išmoka apdraustajam mirus</c:v>
                </c:pt>
                <c:pt idx="3">
                  <c:v>Netekto darbingumo periodinė kompensacija</c:v>
                </c:pt>
                <c:pt idx="4">
                  <c:v>Vienkartinė draudimo išmoka apdraustajam mirus</c:v>
                </c:pt>
                <c:pt idx="5">
                  <c:v>Vienkartinės netekto darbingumo kompensacijos</c:v>
                </c:pt>
              </c:strCache>
            </c:strRef>
          </c:cat>
          <c:val>
            <c:numRef>
              <c:f>'[12]59'!$E$34:$E$39</c:f>
              <c:numCache>
                <c:formatCode>General</c:formatCode>
                <c:ptCount val="6"/>
                <c:pt idx="0">
                  <c:v>35.260429604808195</c:v>
                </c:pt>
                <c:pt idx="1">
                  <c:v>0.39469759097076468</c:v>
                </c:pt>
                <c:pt idx="2">
                  <c:v>3.313880902510105</c:v>
                </c:pt>
                <c:pt idx="3">
                  <c:v>47.956639398336101</c:v>
                </c:pt>
                <c:pt idx="4">
                  <c:v>9.9310100425817431</c:v>
                </c:pt>
                <c:pt idx="5">
                  <c:v>3.1433424607930873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solidFill>
        <a:schemeClr val="tx1"/>
      </a:solidFill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 sz="12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NELAIMINGI ATSITIKIMAI DARBE IR PROFESINĖS LIGOS, PRIPAŽINTOS DRAUDIMINIAIS ĮVYKIAIS  2010 - 2015 METAIS</a:t>
            </a:r>
          </a:p>
        </c:rich>
      </c:tx>
      <c:layout>
        <c:manualLayout>
          <c:xMode val="edge"/>
          <c:yMode val="edge"/>
          <c:x val="0.11919841773332836"/>
          <c:y val="3.41727206729719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6940297955713291E-2"/>
          <c:y val="0.18053465645866712"/>
          <c:w val="0.90505208679900928"/>
          <c:h val="0.6682015729189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'[12]64 '!$C$1</c:f>
              <c:strCache>
                <c:ptCount val="1"/>
                <c:pt idx="0">
                  <c:v>Profesinės ligos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3.6479617263032089E-3"/>
                  <c:y val="-8.333478588291030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9.1860194690853315E-3"/>
                  <c:y val="-2.325242645430562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8.3947971693411755E-3"/>
                  <c:y val="-1.41211697190884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3932854912123326E-2"/>
                  <c:y val="-1.258204349799624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8125186883285019E-3"/>
                  <c:y val="-1.48926989106739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2350576431110653E-2"/>
                  <c:y val="-1.255690129966271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'[12]64 '!$B$9:$B$14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'[12]64 '!$C$9:$C$14</c:f>
              <c:numCache>
                <c:formatCode>General</c:formatCode>
                <c:ptCount val="6"/>
                <c:pt idx="0">
                  <c:v>245</c:v>
                </c:pt>
                <c:pt idx="1">
                  <c:v>208</c:v>
                </c:pt>
                <c:pt idx="2">
                  <c:v>252</c:v>
                </c:pt>
                <c:pt idx="3">
                  <c:v>219</c:v>
                </c:pt>
                <c:pt idx="4">
                  <c:v>235</c:v>
                </c:pt>
                <c:pt idx="5">
                  <c:v>202</c:v>
                </c:pt>
              </c:numCache>
            </c:numRef>
          </c:val>
        </c:ser>
        <c:ser>
          <c:idx val="1"/>
          <c:order val="1"/>
          <c:tx>
            <c:strRef>
              <c:f>'[12]64 '!$D$1</c:f>
              <c:strCache>
                <c:ptCount val="1"/>
                <c:pt idx="0">
                  <c:v>Nelaimingi atsitikimai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1.4899830559154793E-2"/>
                  <c:y val="-3.721431110955075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4108608259410607E-2"/>
                  <c:y val="-7.12885030801193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0152995116116842E-2"/>
                  <c:y val="-2.288456308497909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1980012750772084E-2"/>
                  <c:y val="-3.098970170628112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331755207814217E-2"/>
                  <c:y val="-4.395050858698561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569088674042329E-2"/>
                  <c:y val="-3.704530887414603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'[12]64 '!$B$9:$B$14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'[12]64 '!$D$9:$D$14</c:f>
              <c:numCache>
                <c:formatCode>General</c:formatCode>
                <c:ptCount val="6"/>
                <c:pt idx="0">
                  <c:v>4039</c:v>
                </c:pt>
                <c:pt idx="1">
                  <c:v>4860</c:v>
                </c:pt>
                <c:pt idx="2">
                  <c:v>4583</c:v>
                </c:pt>
                <c:pt idx="3">
                  <c:v>5481</c:v>
                </c:pt>
                <c:pt idx="4">
                  <c:v>4919</c:v>
                </c:pt>
                <c:pt idx="5">
                  <c:v>5493</c:v>
                </c:pt>
              </c:numCache>
            </c:numRef>
          </c:val>
        </c:ser>
        <c:ser>
          <c:idx val="2"/>
          <c:order val="2"/>
          <c:tx>
            <c:strRef>
              <c:f>'[12]64 '!$E$1</c:f>
              <c:strCache>
                <c:ptCount val="1"/>
                <c:pt idx="0">
                  <c:v>Iš viso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3"/>
              <c:layout>
                <c:manualLayout>
                  <c:x val="2.10304942166140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9.7134456294228969E-3"/>
                  <c:y val="-7.29753536118521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'[12]64 '!$B$9:$B$14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'[12]64 '!$E$9:$E$14</c:f>
              <c:numCache>
                <c:formatCode>General</c:formatCode>
                <c:ptCount val="6"/>
                <c:pt idx="0">
                  <c:v>4284</c:v>
                </c:pt>
                <c:pt idx="1">
                  <c:v>5068</c:v>
                </c:pt>
                <c:pt idx="2">
                  <c:v>4835</c:v>
                </c:pt>
                <c:pt idx="3">
                  <c:v>5700</c:v>
                </c:pt>
                <c:pt idx="4">
                  <c:v>5154</c:v>
                </c:pt>
                <c:pt idx="5">
                  <c:v>5695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615040"/>
        <c:axId val="291615432"/>
      </c:barChart>
      <c:catAx>
        <c:axId val="2916150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54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6154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5040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1.4322095187018038E-2"/>
          <c:y val="0.91957497620489737"/>
          <c:w val="0.95066039345700981"/>
          <c:h val="8.0362262409506502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chemeClr val="bg1"/>
    </a:solidFill>
    <a:ln w="9525">
      <a:solidFill>
        <a:srgbClr val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 sz="12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NELAIMINGI ATSITIKIMAI DARBE IR PROFESINĖS LIGOS PAGAL SUŽALOJIMO SUNKUMĄ 2015 METAIS</a:t>
            </a:r>
          </a:p>
        </c:rich>
      </c:tx>
      <c:layout>
        <c:manualLayout>
          <c:xMode val="edge"/>
          <c:yMode val="edge"/>
          <c:x val="0.17015683518214816"/>
          <c:y val="2.994013090135885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11142925316152E-2"/>
          <c:y val="0.12091599555748134"/>
          <c:w val="0.92324153260746711"/>
          <c:h val="0.696187701395010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'[12]64 '!$A$43</c:f>
              <c:strCache>
                <c:ptCount val="1"/>
                <c:pt idx="0">
                  <c:v>2015 m.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1"/>
              <c:layout>
                <c:manualLayout>
                  <c:x val="-1.5760266187199029E-2"/>
                  <c:y val="0.8562890942511349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9964866596399647E-3"/>
                  <c:y val="0.8522970705017124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5.0516047698761597E-3"/>
                  <c:y val="0.8463090348775785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'[12]64 '!$B$16:$F$16</c:f>
              <c:strCache>
                <c:ptCount val="5"/>
                <c:pt idx="0">
                  <c:v>lengvi </c:v>
                </c:pt>
                <c:pt idx="1">
                  <c:v>sunkūs</c:v>
                </c:pt>
                <c:pt idx="2">
                  <c:v>mirtini</c:v>
                </c:pt>
                <c:pt idx="3">
                  <c:v>prof. ligos</c:v>
                </c:pt>
                <c:pt idx="4">
                  <c:v>iš viso</c:v>
                </c:pt>
              </c:strCache>
            </c:strRef>
          </c:cat>
          <c:val>
            <c:numRef>
              <c:f>'[12]64 '!$B$43:$F$43</c:f>
              <c:numCache>
                <c:formatCode>General</c:formatCode>
                <c:ptCount val="5"/>
              </c:numCache>
            </c:numRef>
          </c:val>
        </c:ser>
        <c:ser>
          <c:idx val="1"/>
          <c:order val="1"/>
          <c:tx>
            <c:strRef>
              <c:f>'[12]64 '!$A$44</c:f>
              <c:strCache>
                <c:ptCount val="1"/>
                <c:pt idx="0">
                  <c:v>Tirta atvejų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3.8763653896432414E-3"/>
                  <c:y val="1.097445097843782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0128143749172361E-3"/>
                  <c:y val="7.5882919698328844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422263193814874E-3"/>
                  <c:y val="-7.895544702481809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8467571889865644E-3"/>
                  <c:y val="-6.4453968570382853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'[12]64 '!$B$16:$F$16</c:f>
              <c:strCache>
                <c:ptCount val="5"/>
                <c:pt idx="0">
                  <c:v>lengvi </c:v>
                </c:pt>
                <c:pt idx="1">
                  <c:v>sunkūs</c:v>
                </c:pt>
                <c:pt idx="2">
                  <c:v>mirtini</c:v>
                </c:pt>
                <c:pt idx="3">
                  <c:v>prof. ligos</c:v>
                </c:pt>
                <c:pt idx="4">
                  <c:v>iš viso</c:v>
                </c:pt>
              </c:strCache>
            </c:strRef>
          </c:cat>
          <c:val>
            <c:numRef>
              <c:f>'[12]64 '!$B$44:$F$44</c:f>
              <c:numCache>
                <c:formatCode>General</c:formatCode>
                <c:ptCount val="5"/>
                <c:pt idx="0">
                  <c:v>5787</c:v>
                </c:pt>
                <c:pt idx="1">
                  <c:v>185</c:v>
                </c:pt>
                <c:pt idx="2">
                  <c:v>57</c:v>
                </c:pt>
                <c:pt idx="3">
                  <c:v>249</c:v>
                </c:pt>
                <c:pt idx="4">
                  <c:v>6278</c:v>
                </c:pt>
              </c:numCache>
            </c:numRef>
          </c:val>
        </c:ser>
        <c:ser>
          <c:idx val="2"/>
          <c:order val="2"/>
          <c:tx>
            <c:strRef>
              <c:f>'[12]64 '!$A$45</c:f>
              <c:strCache>
                <c:ptCount val="1"/>
                <c:pt idx="0">
                  <c:v>Pripažinta draudiminiais įvykiais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1557418518028064E-3"/>
                  <c:y val="-1.783182165520449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0854529341658942E-3"/>
                  <c:y val="-1.011674806471975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4.7856631116453266E-3"/>
                  <c:y val="-2.670919299644506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'[12]64 '!$B$16:$F$16</c:f>
              <c:strCache>
                <c:ptCount val="5"/>
                <c:pt idx="0">
                  <c:v>lengvi </c:v>
                </c:pt>
                <c:pt idx="1">
                  <c:v>sunkūs</c:v>
                </c:pt>
                <c:pt idx="2">
                  <c:v>mirtini</c:v>
                </c:pt>
                <c:pt idx="3">
                  <c:v>prof. ligos</c:v>
                </c:pt>
                <c:pt idx="4">
                  <c:v>iš viso</c:v>
                </c:pt>
              </c:strCache>
            </c:strRef>
          </c:cat>
          <c:val>
            <c:numRef>
              <c:f>'[12]64 '!$B$45:$F$45</c:f>
              <c:numCache>
                <c:formatCode>General</c:formatCode>
                <c:ptCount val="5"/>
                <c:pt idx="0">
                  <c:v>5315</c:v>
                </c:pt>
                <c:pt idx="1">
                  <c:v>143</c:v>
                </c:pt>
                <c:pt idx="2">
                  <c:v>35</c:v>
                </c:pt>
                <c:pt idx="3">
                  <c:v>202</c:v>
                </c:pt>
                <c:pt idx="4">
                  <c:v>5695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616216"/>
        <c:axId val="291616608"/>
      </c:barChart>
      <c:catAx>
        <c:axId val="2916162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6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1616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6216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8.788506699820417E-2"/>
          <c:y val="0.90204485350147168"/>
          <c:w val="0.71594268419796792"/>
          <c:h val="8.507383446139439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ysClr val="windowText" lastClr="000000"/>
      </a:solidFill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lt-L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lt-LT"/>
              <a:t>PENSIJŲ FONDŲ DALYVIŲ SKAIČIUS 2010-2015 METAIS</a:t>
            </a:r>
          </a:p>
        </c:rich>
      </c:tx>
      <c:layout>
        <c:manualLayout>
          <c:xMode val="edge"/>
          <c:yMode val="edge"/>
          <c:x val="0.25531553121077255"/>
          <c:y val="3.189066883880894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379734024249527E-2"/>
          <c:y val="0.16704655653806372"/>
          <c:w val="0.8365954834051913"/>
          <c:h val="0.61417132334264668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'[13]57+'!$A$4</c:f>
              <c:strCache>
                <c:ptCount val="1"/>
                <c:pt idx="0">
                  <c:v>Apdraustieji visomis socialinio draudimo rūšimis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1"/>
              <c:layout>
                <c:manualLayout>
                  <c:x val="-4.5712473601468512E-3"/>
                  <c:y val="-3.5149436965540596E-3"/>
                </c:manualLayout>
              </c:layout>
              <c:tx>
                <c:rich>
                  <a:bodyPr/>
                  <a:lstStyle/>
                  <a:p>
                    <a:pPr>
                      <a:defRPr sz="1050" b="0" i="0" u="none" strike="noStrike" baseline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ea typeface="Arial"/>
                        <a:cs typeface="Times New Roman" panose="02020603050405020304" pitchFamily="18" charset="0"/>
                      </a:defRPr>
                    </a:pPr>
                    <a:r>
                      <a:rPr lang="en-US" sz="105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1175,7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5.2092885715830563E-3"/>
                  <c:y val="5.20150776286968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8311371104318899E-4"/>
                  <c:y val="-1.4738379476759446E-3"/>
                </c:manualLayout>
              </c:layout>
              <c:tx>
                <c:rich>
                  <a:bodyPr/>
                  <a:lstStyle/>
                  <a:p>
                    <a:pPr>
                      <a:defRPr sz="1050" b="0" i="0" u="none" strike="noStrike" baseline="0">
                        <a:solidFill>
                          <a:srgbClr val="000000"/>
                        </a:solidFill>
                        <a:latin typeface="Times New Roman" panose="02020603050405020304" pitchFamily="18" charset="0"/>
                        <a:ea typeface="Arial"/>
                        <a:cs typeface="Times New Roman" panose="02020603050405020304" pitchFamily="18" charset="0"/>
                      </a:defRPr>
                    </a:pPr>
                    <a:r>
                      <a:rPr lang="en-US" sz="105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1242,1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Arial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'[13]57+'!$B$3:$G$3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'[13]57+'!$B$4:$G$4</c:f>
              <c:numCache>
                <c:formatCode>General</c:formatCode>
                <c:ptCount val="6"/>
                <c:pt idx="0">
                  <c:v>1129.769</c:v>
                </c:pt>
                <c:pt idx="1">
                  <c:v>1175.7</c:v>
                </c:pt>
                <c:pt idx="2">
                  <c:v>1219</c:v>
                </c:pt>
                <c:pt idx="3">
                  <c:v>1242.0999999999999</c:v>
                </c:pt>
                <c:pt idx="4">
                  <c:v>1270.9000000000001</c:v>
                </c:pt>
                <c:pt idx="5">
                  <c:v>1288</c:v>
                </c:pt>
              </c:numCache>
            </c:numRef>
          </c:val>
        </c:ser>
        <c:ser>
          <c:idx val="0"/>
          <c:order val="1"/>
          <c:tx>
            <c:strRef>
              <c:f>'[13]57+'!$A$5</c:f>
              <c:strCache>
                <c:ptCount val="1"/>
                <c:pt idx="0">
                  <c:v>Pensijų fondų dalyvių skaičius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6.6802464909277376E-3"/>
                  <c:y val="-7.86741413915557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9.5787972155654457E-3"/>
                  <c:y val="-6.15355129290380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9.3859408878238047E-3"/>
                  <c:y val="-1.24655411988308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9.0004564646809383E-3"/>
                  <c:y val="-6.19507754228495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1019057400433637E-3"/>
                  <c:y val="-6.85971048750752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5.2176195366882422E-3"/>
                  <c:y val="5.93612411024686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Arial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'[13]57+'!$B$3:$G$3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'[13]57+'!$B$5:$G$5</c:f>
              <c:numCache>
                <c:formatCode>General</c:formatCode>
                <c:ptCount val="6"/>
                <c:pt idx="0">
                  <c:v>995.1</c:v>
                </c:pt>
                <c:pt idx="1">
                  <c:v>1032.7</c:v>
                </c:pt>
                <c:pt idx="2">
                  <c:v>1051.7</c:v>
                </c:pt>
                <c:pt idx="3">
                  <c:v>1078.5</c:v>
                </c:pt>
                <c:pt idx="4">
                  <c:v>1128.9000000000001</c:v>
                </c:pt>
                <c:pt idx="5">
                  <c:v>1177.4000000000001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1617392"/>
        <c:axId val="291617784"/>
      </c:barChart>
      <c:lineChart>
        <c:grouping val="standard"/>
        <c:varyColors val="0"/>
        <c:ser>
          <c:idx val="2"/>
          <c:order val="2"/>
          <c:tx>
            <c:strRef>
              <c:f>'[13]57+'!$A$6</c:f>
              <c:strCache>
                <c:ptCount val="1"/>
                <c:pt idx="0">
                  <c:v>Apdraustųjų dalis, dalyvaujančių pensijų kaupime (%)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9.5784998440044903E-3"/>
                  <c:y val="-3.4741852666823461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4.6523479482602171E-3"/>
                  <c:y val="-3.8420763924452241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6.2943510840658386E-3"/>
                  <c:y val="-3.9863357628421199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2944878542280456E-3"/>
                  <c:y val="-4.564749673577382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9430762295245967E-2"/>
                  <c:y val="-3.9438298304108457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828516377649325E-2"/>
                  <c:y val="-3.1809145129224649E-2"/>
                </c:manualLayout>
              </c:layout>
              <c:numFmt formatCode="##,#0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Times New Roman" panose="02020603050405020304" pitchFamily="18" charset="0"/>
                      <a:ea typeface="Arial"/>
                      <a:cs typeface="Times New Roman" panose="02020603050405020304" pitchFamily="18" charset="0"/>
                    </a:defRPr>
                  </a:pPr>
                  <a:endParaRPr lang="lt-LT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#,#0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Times New Roman" panose="02020603050405020304" pitchFamily="18" charset="0"/>
                    <a:ea typeface="Arial"/>
                    <a:cs typeface="Times New Roman" panose="02020603050405020304" pitchFamily="18" charset="0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'[13]57+'!$B$3:$G$3</c:f>
              <c:numCache>
                <c:formatCode>General</c:formatCode>
                <c:ptCount val="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</c:numCache>
            </c:numRef>
          </c:cat>
          <c:val>
            <c:numRef>
              <c:f>'[13]57+'!$B$6:$G$6</c:f>
              <c:numCache>
                <c:formatCode>General</c:formatCode>
                <c:ptCount val="6"/>
                <c:pt idx="0">
                  <c:v>88.079952627484033</c:v>
                </c:pt>
                <c:pt idx="1">
                  <c:v>87.837033256783187</c:v>
                </c:pt>
                <c:pt idx="2">
                  <c:v>86.275635767022152</c:v>
                </c:pt>
                <c:pt idx="3">
                  <c:v>86.828757748973516</c:v>
                </c:pt>
                <c:pt idx="4">
                  <c:v>88.826815642458101</c:v>
                </c:pt>
                <c:pt idx="5">
                  <c:v>91.413043478260875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227320"/>
        <c:axId val="293227712"/>
      </c:lineChart>
      <c:catAx>
        <c:axId val="2916173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7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91617784"/>
        <c:scaling>
          <c:orientation val="minMax"/>
          <c:max val="160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lt-LT"/>
                  <a:t>tūkst.</a:t>
                </a:r>
              </a:p>
            </c:rich>
          </c:tx>
          <c:layout>
            <c:manualLayout>
              <c:xMode val="edge"/>
              <c:yMode val="edge"/>
              <c:x val="5.70694087403599E-3"/>
              <c:y val="0.402779188891711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1617392"/>
        <c:crosses val="autoZero"/>
        <c:crossBetween val="between"/>
      </c:valAx>
      <c:catAx>
        <c:axId val="293227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93227712"/>
        <c:crosses val="autoZero"/>
        <c:auto val="0"/>
        <c:lblAlgn val="ctr"/>
        <c:lblOffset val="100"/>
        <c:noMultiLvlLbl val="0"/>
      </c:catAx>
      <c:valAx>
        <c:axId val="293227712"/>
        <c:scaling>
          <c:orientation val="minMax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lt-LT"/>
                  <a:t>procentai</a:t>
                </a:r>
              </a:p>
            </c:rich>
          </c:tx>
          <c:layout>
            <c:manualLayout>
              <c:xMode val="edge"/>
              <c:yMode val="edge"/>
              <c:x val="0.96666707150038123"/>
              <c:y val="0.3826883837101007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lt-LT"/>
          </a:p>
        </c:txPr>
        <c:crossAx val="293227320"/>
        <c:crosses val="max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1552915140106202"/>
          <c:y val="0.86474113114892892"/>
          <c:w val="0.5611551255321876"/>
          <c:h val="0.1108401066802133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lt-LT"/>
        </a:p>
      </c:txPr>
    </c:legend>
    <c:plotVisOnly val="1"/>
    <c:dispBlanksAs val="gap"/>
    <c:showDLblsOverMax val="0"/>
  </c:chart>
  <c:spPr>
    <a:solidFill>
      <a:srgbClr val="FFFFFF"/>
    </a:solidFill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lt-LT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paperSize="9"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Nedarbo socialinio draudimo išmokų gavėjų skaičius pagal amžių ir lytį </a:t>
            </a:r>
            <a:endParaRPr lang="en-US" sz="1200" b="1" i="0" baseline="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201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5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m. gruodžio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mėn.</a:t>
            </a:r>
            <a:r>
              <a:rPr lang="en-US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lt-LT" sz="12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(tūkst. žm.)</a:t>
            </a:r>
            <a:endParaRPr lang="lt-LT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'40 psl.'!$E$3</c:f>
              <c:strCache>
                <c:ptCount val="1"/>
                <c:pt idx="0">
                  <c:v>Moterys</c:v>
                </c:pt>
              </c:strCache>
            </c:strRef>
          </c:tx>
          <c:spPr>
            <a:ln w="22225">
              <a:solidFill>
                <a:schemeClr val="accent2">
                  <a:lumMod val="50000"/>
                </a:schemeClr>
              </a:solidFill>
            </a:ln>
          </c:spPr>
          <c:marker>
            <c:symbol val="diamond"/>
            <c:size val="5"/>
            <c:spPr>
              <a:solidFill>
                <a:schemeClr val="accent2">
                  <a:lumMod val="50000"/>
                </a:schemeClr>
              </a:solidFill>
              <a:ln>
                <a:solidFill>
                  <a:schemeClr val="accent2">
                    <a:lumMod val="50000"/>
                  </a:schemeClr>
                </a:solidFill>
              </a:ln>
            </c:spPr>
          </c:marker>
          <c:dLbls>
            <c:dLbl>
              <c:idx val="9"/>
              <c:layout>
                <c:manualLayout>
                  <c:x val="-5.4320987654320986E-3"/>
                  <c:y val="-1.05820089788762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'40 psl.'!$D$4:$D$13</c:f>
              <c:strCache>
                <c:ptCount val="10"/>
                <c:pt idx="0">
                  <c:v>iki 20 m.</c:v>
                </c:pt>
                <c:pt idx="1">
                  <c:v>20-25 m.</c:v>
                </c:pt>
                <c:pt idx="2">
                  <c:v>25-30 m.</c:v>
                </c:pt>
                <c:pt idx="3">
                  <c:v>30-35 m.</c:v>
                </c:pt>
                <c:pt idx="4">
                  <c:v>35-40 m.</c:v>
                </c:pt>
                <c:pt idx="5">
                  <c:v>40-45 m.</c:v>
                </c:pt>
                <c:pt idx="6">
                  <c:v>45-50 m.</c:v>
                </c:pt>
                <c:pt idx="7">
                  <c:v>50-55 m.</c:v>
                </c:pt>
                <c:pt idx="8">
                  <c:v>55-60 m.</c:v>
                </c:pt>
                <c:pt idx="9">
                  <c:v>60-65 m.</c:v>
                </c:pt>
              </c:strCache>
            </c:strRef>
          </c:cat>
          <c:val>
            <c:numRef>
              <c:f>'40 psl.'!$E$4:$E$13</c:f>
              <c:numCache>
                <c:formatCode>0.0</c:formatCode>
                <c:ptCount val="10"/>
                <c:pt idx="0">
                  <c:v>8.5000000000000006E-2</c:v>
                </c:pt>
                <c:pt idx="1">
                  <c:v>2.1</c:v>
                </c:pt>
                <c:pt idx="2">
                  <c:v>4</c:v>
                </c:pt>
                <c:pt idx="3">
                  <c:v>3.4</c:v>
                </c:pt>
                <c:pt idx="4">
                  <c:v>2.8</c:v>
                </c:pt>
                <c:pt idx="5">
                  <c:v>2.7</c:v>
                </c:pt>
                <c:pt idx="6">
                  <c:v>2.9</c:v>
                </c:pt>
                <c:pt idx="7">
                  <c:v>3.3</c:v>
                </c:pt>
                <c:pt idx="8">
                  <c:v>3.6</c:v>
                </c:pt>
                <c:pt idx="9">
                  <c:v>0.81499999999999995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'40 psl.'!$F$3</c:f>
              <c:strCache>
                <c:ptCount val="1"/>
                <c:pt idx="0">
                  <c:v>Vyrai</c:v>
                </c:pt>
              </c:strCache>
            </c:strRef>
          </c:tx>
          <c:spPr>
            <a:ln w="22225">
              <a:solidFill>
                <a:srgbClr val="00B0F0"/>
              </a:solidFill>
            </a:ln>
          </c:spPr>
          <c:marker>
            <c:symbol val="square"/>
            <c:size val="5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5.4320987654320986E-3"/>
                  <c:y val="-9.6200081626148003E-4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'40 psl.'!$D$4:$D$13</c:f>
              <c:strCache>
                <c:ptCount val="10"/>
                <c:pt idx="0">
                  <c:v>iki 20 m.</c:v>
                </c:pt>
                <c:pt idx="1">
                  <c:v>20-25 m.</c:v>
                </c:pt>
                <c:pt idx="2">
                  <c:v>25-30 m.</c:v>
                </c:pt>
                <c:pt idx="3">
                  <c:v>30-35 m.</c:v>
                </c:pt>
                <c:pt idx="4">
                  <c:v>35-40 m.</c:v>
                </c:pt>
                <c:pt idx="5">
                  <c:v>40-45 m.</c:v>
                </c:pt>
                <c:pt idx="6">
                  <c:v>45-50 m.</c:v>
                </c:pt>
                <c:pt idx="7">
                  <c:v>50-55 m.</c:v>
                </c:pt>
                <c:pt idx="8">
                  <c:v>55-60 m.</c:v>
                </c:pt>
                <c:pt idx="9">
                  <c:v>60-65 m.</c:v>
                </c:pt>
              </c:strCache>
            </c:strRef>
          </c:cat>
          <c:val>
            <c:numRef>
              <c:f>'40 psl.'!$F$4:$F$13</c:f>
              <c:numCache>
                <c:formatCode>0.0</c:formatCode>
                <c:ptCount val="10"/>
                <c:pt idx="0">
                  <c:v>6.3E-2</c:v>
                </c:pt>
                <c:pt idx="1">
                  <c:v>1.8</c:v>
                </c:pt>
                <c:pt idx="2">
                  <c:v>3</c:v>
                </c:pt>
                <c:pt idx="3">
                  <c:v>2.4</c:v>
                </c:pt>
                <c:pt idx="4">
                  <c:v>2.2000000000000002</c:v>
                </c:pt>
                <c:pt idx="5">
                  <c:v>2.4</c:v>
                </c:pt>
                <c:pt idx="6">
                  <c:v>2.6</c:v>
                </c:pt>
                <c:pt idx="7">
                  <c:v>3</c:v>
                </c:pt>
                <c:pt idx="8">
                  <c:v>3.1</c:v>
                </c:pt>
                <c:pt idx="9">
                  <c:v>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228496"/>
        <c:axId val="293228888"/>
      </c:lineChart>
      <c:catAx>
        <c:axId val="2932284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100"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93228888"/>
        <c:crosses val="autoZero"/>
        <c:auto val="1"/>
        <c:lblAlgn val="ctr"/>
        <c:lblOffset val="100"/>
        <c:noMultiLvlLbl val="0"/>
      </c:catAx>
      <c:valAx>
        <c:axId val="29322888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9322849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Nedarbo socialinio draudimo išmokų gavėjų skaičius pagal išmokos dydį (už pilną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mėnesį) ir lytį 2015 m. gruodžio</a:t>
            </a:r>
            <a:r>
              <a:rPr lang="en-US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mėn.</a:t>
            </a:r>
            <a:r>
              <a:rPr lang="en-US" sz="12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lt-LT" sz="1200">
                <a:latin typeface="Times New Roman" panose="02020603050405020304" pitchFamily="18" charset="0"/>
                <a:cs typeface="Times New Roman" panose="02020603050405020304" pitchFamily="18" charset="0"/>
              </a:rPr>
              <a:t>(tūkst. žm.)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3.6999501275932746E-2"/>
          <c:y val="0.13118616751853385"/>
          <c:w val="0.9455557861092605"/>
          <c:h val="0.71697356909333698"/>
        </c:manualLayout>
      </c:layout>
      <c:lineChart>
        <c:grouping val="standard"/>
        <c:varyColors val="0"/>
        <c:ser>
          <c:idx val="0"/>
          <c:order val="0"/>
          <c:tx>
            <c:strRef>
              <c:f>'41 psl.'!$C$9</c:f>
              <c:strCache>
                <c:ptCount val="1"/>
                <c:pt idx="0">
                  <c:v>Moterys</c:v>
                </c:pt>
              </c:strCache>
            </c:strRef>
          </c:tx>
          <c:spPr>
            <a:ln w="22225">
              <a:solidFill>
                <a:schemeClr val="accent2">
                  <a:lumMod val="50000"/>
                </a:schemeClr>
              </a:solidFill>
            </a:ln>
          </c:spPr>
          <c:marker>
            <c:symbol val="diamond"/>
            <c:size val="5"/>
            <c:spPr>
              <a:solidFill>
                <a:schemeClr val="accent2">
                  <a:lumMod val="50000"/>
                </a:schemeClr>
              </a:solidFill>
              <a:ln>
                <a:solidFill>
                  <a:schemeClr val="accent2">
                    <a:lumMod val="50000"/>
                  </a:schemeClr>
                </a:solidFill>
              </a:ln>
            </c:spPr>
          </c:marker>
          <c:dLbls>
            <c:dLbl>
              <c:idx val="0"/>
              <c:layout>
                <c:manualLayout>
                  <c:x val="-4.5326183225555976E-2"/>
                  <c:y val="-2.81683105401298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3.4411915767847974E-2"/>
                  <c:y val="2.87719298245614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3.0303030303030304E-2"/>
                  <c:y val="2.59649122807017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'41 psl.'!$B$10:$B$15</c:f>
              <c:strCache>
                <c:ptCount val="6"/>
                <c:pt idx="0">
                  <c:v>iki 102 Eur</c:v>
                </c:pt>
                <c:pt idx="1">
                  <c:v>102-150 Eur</c:v>
                </c:pt>
                <c:pt idx="2">
                  <c:v>150-200 Eur</c:v>
                </c:pt>
                <c:pt idx="3">
                  <c:v>200-250 Eur</c:v>
                </c:pt>
                <c:pt idx="4">
                  <c:v>250-300 Eur</c:v>
                </c:pt>
                <c:pt idx="5">
                  <c:v>300-304 Eur</c:v>
                </c:pt>
              </c:strCache>
            </c:strRef>
          </c:cat>
          <c:val>
            <c:numRef>
              <c:f>'41 psl.'!$C$10:$C$15</c:f>
              <c:numCache>
                <c:formatCode>General</c:formatCode>
                <c:ptCount val="6"/>
                <c:pt idx="0">
                  <c:v>0.8</c:v>
                </c:pt>
                <c:pt idx="1">
                  <c:v>4.8</c:v>
                </c:pt>
                <c:pt idx="2">
                  <c:v>6.1</c:v>
                </c:pt>
                <c:pt idx="3">
                  <c:v>2.9</c:v>
                </c:pt>
                <c:pt idx="4">
                  <c:v>1.1000000000000001</c:v>
                </c:pt>
                <c:pt idx="5">
                  <c:v>1.1000000000000001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'41 psl.'!$D$9</c:f>
              <c:strCache>
                <c:ptCount val="1"/>
                <c:pt idx="0">
                  <c:v>Vyrai</c:v>
                </c:pt>
              </c:strCache>
            </c:strRef>
          </c:tx>
          <c:spPr>
            <a:ln w="22225">
              <a:solidFill>
                <a:srgbClr val="00B0F0"/>
              </a:solidFill>
            </a:ln>
          </c:spPr>
          <c:marker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4.1217297760738382E-2"/>
                  <c:y val="3.07790578809227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2.6194144838212634E-2"/>
                  <c:y val="-2.7368421052631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50" b="1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lt-L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'41 psl.'!$B$10:$B$15</c:f>
              <c:strCache>
                <c:ptCount val="6"/>
                <c:pt idx="0">
                  <c:v>iki 102 Eur</c:v>
                </c:pt>
                <c:pt idx="1">
                  <c:v>102-150 Eur</c:v>
                </c:pt>
                <c:pt idx="2">
                  <c:v>150-200 Eur</c:v>
                </c:pt>
                <c:pt idx="3">
                  <c:v>200-250 Eur</c:v>
                </c:pt>
                <c:pt idx="4">
                  <c:v>250-300 Eur</c:v>
                </c:pt>
                <c:pt idx="5">
                  <c:v>300-304 Eur</c:v>
                </c:pt>
              </c:strCache>
            </c:strRef>
          </c:cat>
          <c:val>
            <c:numRef>
              <c:f>'41 psl.'!$D$10:$D$15</c:f>
              <c:numCache>
                <c:formatCode>0.0</c:formatCode>
                <c:ptCount val="6"/>
                <c:pt idx="0">
                  <c:v>0.8</c:v>
                </c:pt>
                <c:pt idx="1">
                  <c:v>3.8</c:v>
                </c:pt>
                <c:pt idx="2" formatCode="General">
                  <c:v>3.9</c:v>
                </c:pt>
                <c:pt idx="3" formatCode="General">
                  <c:v>2.2999999999999998</c:v>
                </c:pt>
                <c:pt idx="4" formatCode="General">
                  <c:v>1.2</c:v>
                </c:pt>
                <c:pt idx="5" formatCode="General">
                  <c:v>1.3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229672"/>
        <c:axId val="293230064"/>
      </c:lineChart>
      <c:catAx>
        <c:axId val="293229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b="1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93230064"/>
        <c:crosses val="autoZero"/>
        <c:auto val="1"/>
        <c:lblAlgn val="ctr"/>
        <c:lblOffset val="100"/>
        <c:noMultiLvlLbl val="0"/>
      </c:catAx>
      <c:valAx>
        <c:axId val="2932300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lt-LT"/>
          </a:p>
        </c:txPr>
        <c:crossAx val="293229672"/>
        <c:crosses val="autoZero"/>
        <c:crossBetween val="between"/>
      </c:valAx>
    </c:plotArea>
    <c:legend>
      <c:legendPos val="b"/>
      <c:layout/>
      <c:overlay val="0"/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lt-LT"/>
        </a:p>
      </c:txPr>
    </c:legend>
    <c:plotVisOnly val="1"/>
    <c:dispBlanksAs val="gap"/>
    <c:showDLblsOverMax val="0"/>
  </c:chart>
  <c:printSettings>
    <c:headerFooter alignWithMargins="0"/>
    <c:pageMargins b="1" l="0.75" r="0.75" t="1" header="0.5" footer="0.5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2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3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4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5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6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7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8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9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0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1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2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3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4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5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6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17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8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19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0</xdr:rowOff>
    </xdr:from>
    <xdr:to>
      <xdr:col>1</xdr:col>
      <xdr:colOff>209550</xdr:colOff>
      <xdr:row>2</xdr:row>
      <xdr:rowOff>123825</xdr:rowOff>
    </xdr:to>
    <xdr:pic macro="[5]!DesignIconClicked">
      <xdr:nvPicPr>
        <xdr:cNvPr id="20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0</xdr:rowOff>
    </xdr:from>
    <xdr:to>
      <xdr:col>1</xdr:col>
      <xdr:colOff>209550</xdr:colOff>
      <xdr:row>2</xdr:row>
      <xdr:rowOff>123825</xdr:rowOff>
    </xdr:to>
    <xdr:pic macro="[5]!DesignIconClicked">
      <xdr:nvPicPr>
        <xdr:cNvPr id="21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0</xdr:rowOff>
    </xdr:from>
    <xdr:to>
      <xdr:col>1</xdr:col>
      <xdr:colOff>209550</xdr:colOff>
      <xdr:row>2</xdr:row>
      <xdr:rowOff>123825</xdr:rowOff>
    </xdr:to>
    <xdr:pic macro="[5]!DesignIconClicked">
      <xdr:nvPicPr>
        <xdr:cNvPr id="22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3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4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5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6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0</xdr:rowOff>
    </xdr:from>
    <xdr:to>
      <xdr:col>1</xdr:col>
      <xdr:colOff>133350</xdr:colOff>
      <xdr:row>2</xdr:row>
      <xdr:rowOff>123825</xdr:rowOff>
    </xdr:to>
    <xdr:pic macro="[5]!DesignIconClicked">
      <xdr:nvPicPr>
        <xdr:cNvPr id="27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8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0</xdr:rowOff>
    </xdr:from>
    <xdr:to>
      <xdr:col>1</xdr:col>
      <xdr:colOff>171450</xdr:colOff>
      <xdr:row>2</xdr:row>
      <xdr:rowOff>123825</xdr:rowOff>
    </xdr:to>
    <xdr:pic macro="[5]!DesignIconClicked">
      <xdr:nvPicPr>
        <xdr:cNvPr id="29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0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1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32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3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4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5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6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7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8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9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0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1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2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4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5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6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7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8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9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0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1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4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5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6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7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8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9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60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1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2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3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64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5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6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67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68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69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0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71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72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73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4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5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6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7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8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79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0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81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2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3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4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5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6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7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8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89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90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1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2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3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4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5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96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97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98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99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00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1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2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03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4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5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6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7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8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09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0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1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2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3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4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5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6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7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8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19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0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21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2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3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24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5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6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7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8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29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130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31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2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3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4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5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36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7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38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139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40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41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142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4</xdr:row>
      <xdr:rowOff>200025</xdr:rowOff>
    </xdr:to>
    <xdr:pic macro="[5]!DesignIconClicked">
      <xdr:nvPicPr>
        <xdr:cNvPr id="143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44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45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46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47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48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49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0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1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2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3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4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5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6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7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8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59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60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161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2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3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4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5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6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7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8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69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0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1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2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3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4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5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6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77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178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179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0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1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182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3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4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5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6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7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8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89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0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191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192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193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194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5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6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7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8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199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0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1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02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3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4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5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6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7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8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09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10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11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12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13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14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15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16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17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18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219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20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221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22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23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24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25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26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27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28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29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230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31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232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3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4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5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6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7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38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39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0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1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2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3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44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45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46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7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8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49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0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1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2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53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4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5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6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7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58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59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0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1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2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3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4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65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6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7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8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69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70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271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72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73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74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75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76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77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78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79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280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81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82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3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4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5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6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7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8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89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290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291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2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3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4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5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296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7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8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299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00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01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02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03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04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05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06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07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08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309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10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1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2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3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4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5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16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7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8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19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0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1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2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3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324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25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6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7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8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29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30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31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32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33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34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35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36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37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38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39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40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41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42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43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44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45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46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47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48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49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50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51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2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3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4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5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6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57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358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59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0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1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2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3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364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365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6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7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8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69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370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71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72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73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74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75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76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377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378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379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380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381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382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383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384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385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386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387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388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89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90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91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92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93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94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395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96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97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398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399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0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1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02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3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4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5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6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7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8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09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0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1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2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3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4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5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7</xdr:row>
      <xdr:rowOff>57150</xdr:rowOff>
    </xdr:to>
    <xdr:pic macro="[5]!DesignIconClicked">
      <xdr:nvPicPr>
        <xdr:cNvPr id="416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7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18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19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20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21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9</xdr:row>
      <xdr:rowOff>133350</xdr:rowOff>
    </xdr:to>
    <xdr:pic macro="[5]!DesignIconClicked">
      <xdr:nvPicPr>
        <xdr:cNvPr id="422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23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24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25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26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427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28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29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430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31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432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3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4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5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6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7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8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39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440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1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2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3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7</xdr:row>
      <xdr:rowOff>57150</xdr:rowOff>
    </xdr:to>
    <xdr:pic macro="[5]!DesignIconClicked">
      <xdr:nvPicPr>
        <xdr:cNvPr id="444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5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6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7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48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449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50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51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52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53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54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55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456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457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58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59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4</xdr:row>
      <xdr:rowOff>152400</xdr:rowOff>
    </xdr:to>
    <xdr:pic macro="[5]!DesignIconClicked">
      <xdr:nvPicPr>
        <xdr:cNvPr id="460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61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462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63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9</xdr:row>
      <xdr:rowOff>133350</xdr:rowOff>
    </xdr:to>
    <xdr:pic macro="[5]!DesignIconClicked">
      <xdr:nvPicPr>
        <xdr:cNvPr id="464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65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66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67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4</xdr:row>
      <xdr:rowOff>152400</xdr:rowOff>
    </xdr:to>
    <xdr:pic macro="[5]!DesignIconClicked">
      <xdr:nvPicPr>
        <xdr:cNvPr id="468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469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470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1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2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3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4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5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6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7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78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7</xdr:row>
      <xdr:rowOff>57150</xdr:rowOff>
    </xdr:to>
    <xdr:pic macro="[5]!DesignIconClicked">
      <xdr:nvPicPr>
        <xdr:cNvPr id="479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0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1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2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3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4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5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6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7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8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89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0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1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2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3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4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5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6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7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8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499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00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01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9</xdr:row>
      <xdr:rowOff>133350</xdr:rowOff>
    </xdr:to>
    <xdr:pic macro="[5]!DesignIconClicked">
      <xdr:nvPicPr>
        <xdr:cNvPr id="502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03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504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05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06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507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508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09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10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11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12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13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14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15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16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17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18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19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20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21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22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3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4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7</xdr:row>
      <xdr:rowOff>57150</xdr:rowOff>
    </xdr:to>
    <xdr:pic macro="[5]!DesignIconClicked">
      <xdr:nvPicPr>
        <xdr:cNvPr id="525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6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7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28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29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0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1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2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3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4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35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36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37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8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39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40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41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42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43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544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545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4</xdr:row>
      <xdr:rowOff>200025</xdr:rowOff>
    </xdr:to>
    <xdr:pic macro="[5]!DesignIconClicked">
      <xdr:nvPicPr>
        <xdr:cNvPr id="546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4</xdr:row>
      <xdr:rowOff>200025</xdr:rowOff>
    </xdr:to>
    <xdr:pic macro="[5]!DesignIconClicked">
      <xdr:nvPicPr>
        <xdr:cNvPr id="547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4</xdr:row>
      <xdr:rowOff>200025</xdr:rowOff>
    </xdr:to>
    <xdr:pic macro="[5]!DesignIconClicked">
      <xdr:nvPicPr>
        <xdr:cNvPr id="548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49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50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51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323850</xdr:colOff>
      <xdr:row>2</xdr:row>
      <xdr:rowOff>123825</xdr:rowOff>
    </xdr:to>
    <xdr:pic macro="[5]!DesignIconClicked">
      <xdr:nvPicPr>
        <xdr:cNvPr id="552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53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54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7</xdr:row>
      <xdr:rowOff>57150</xdr:rowOff>
    </xdr:to>
    <xdr:pic macro="[5]!DesignIconClicked">
      <xdr:nvPicPr>
        <xdr:cNvPr id="555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56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57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58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59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5</xdr:row>
      <xdr:rowOff>95250</xdr:rowOff>
    </xdr:to>
    <xdr:pic macro="[5]!DesignIconClicked">
      <xdr:nvPicPr>
        <xdr:cNvPr id="560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1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2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3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4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5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6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7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8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69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70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7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72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73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74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75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76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77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5</xdr:row>
      <xdr:rowOff>95250</xdr:rowOff>
    </xdr:to>
    <xdr:pic macro="[5]!DesignIconClicked">
      <xdr:nvPicPr>
        <xdr:cNvPr id="578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79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580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2</xdr:row>
      <xdr:rowOff>0</xdr:rowOff>
    </xdr:from>
    <xdr:to>
      <xdr:col>0</xdr:col>
      <xdr:colOff>209550</xdr:colOff>
      <xdr:row>2</xdr:row>
      <xdr:rowOff>123825</xdr:rowOff>
    </xdr:to>
    <xdr:pic macro="[5]!DesignIconClicked">
      <xdr:nvPicPr>
        <xdr:cNvPr id="581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2</xdr:row>
      <xdr:rowOff>0</xdr:rowOff>
    </xdr:from>
    <xdr:to>
      <xdr:col>0</xdr:col>
      <xdr:colOff>171450</xdr:colOff>
      <xdr:row>2</xdr:row>
      <xdr:rowOff>123825</xdr:rowOff>
    </xdr:to>
    <xdr:pic macro="[5]!DesignIconClicked">
      <xdr:nvPicPr>
        <xdr:cNvPr id="582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83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2</xdr:row>
      <xdr:rowOff>0</xdr:rowOff>
    </xdr:from>
    <xdr:to>
      <xdr:col>0</xdr:col>
      <xdr:colOff>133350</xdr:colOff>
      <xdr:row>2</xdr:row>
      <xdr:rowOff>123825</xdr:rowOff>
    </xdr:to>
    <xdr:pic macro="[5]!DesignIconClicked">
      <xdr:nvPicPr>
        <xdr:cNvPr id="584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585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586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587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588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589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590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591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592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593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594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595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596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597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598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599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00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01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02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03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04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05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06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07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08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09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10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11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12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13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14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15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16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17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18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19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20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21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22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23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24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25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26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27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28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29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30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31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32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33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34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35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36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37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38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39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40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41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42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43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44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45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46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47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48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49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50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51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52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53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54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55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56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57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58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59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60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61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62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63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64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65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66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67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68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69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70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71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72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73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74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75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76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77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78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79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80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81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82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83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84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85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86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87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88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689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90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691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92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693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94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695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96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697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98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699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00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01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02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03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04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05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06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07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08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09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10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11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12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13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14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15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16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17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18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19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20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21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22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23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24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25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26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27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28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29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30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31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32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33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34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35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36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37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38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39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40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41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42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43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44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45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46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47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48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49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50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51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52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53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54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55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56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57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58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59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60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61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62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63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64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65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66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67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68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69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70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71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72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73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74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2</xdr:row>
      <xdr:rowOff>0</xdr:rowOff>
    </xdr:from>
    <xdr:to>
      <xdr:col>2</xdr:col>
      <xdr:colOff>76200</xdr:colOff>
      <xdr:row>2</xdr:row>
      <xdr:rowOff>47625</xdr:rowOff>
    </xdr:to>
    <xdr:pic macro="[5]!DesignIconClicked">
      <xdr:nvPicPr>
        <xdr:cNvPr id="775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76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777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78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79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80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81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82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83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84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85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86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87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788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789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2</xdr:row>
      <xdr:rowOff>0</xdr:rowOff>
    </xdr:from>
    <xdr:to>
      <xdr:col>3</xdr:col>
      <xdr:colOff>66675</xdr:colOff>
      <xdr:row>2</xdr:row>
      <xdr:rowOff>47625</xdr:rowOff>
    </xdr:to>
    <xdr:pic macro="[5]!DesignIconClicked">
      <xdr:nvPicPr>
        <xdr:cNvPr id="790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19050</xdr:colOff>
      <xdr:row>2</xdr:row>
      <xdr:rowOff>0</xdr:rowOff>
    </xdr:from>
    <xdr:to>
      <xdr:col>3</xdr:col>
      <xdr:colOff>66675</xdr:colOff>
      <xdr:row>2</xdr:row>
      <xdr:rowOff>47625</xdr:rowOff>
    </xdr:to>
    <xdr:pic macro="[5]!DesignIconClicked">
      <xdr:nvPicPr>
        <xdr:cNvPr id="791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92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2</xdr:row>
      <xdr:rowOff>0</xdr:rowOff>
    </xdr:from>
    <xdr:to>
      <xdr:col>4</xdr:col>
      <xdr:colOff>66675</xdr:colOff>
      <xdr:row>2</xdr:row>
      <xdr:rowOff>47625</xdr:rowOff>
    </xdr:to>
    <xdr:pic macro="[5]!DesignIconClicked">
      <xdr:nvPicPr>
        <xdr:cNvPr id="793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94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795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96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797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98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799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00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01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02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03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04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05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06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07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08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09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10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11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12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13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14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15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16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17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18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19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20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21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22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23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24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25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26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27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28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29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30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31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32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33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34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35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36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37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38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39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40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41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42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43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44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45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46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47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48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49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50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51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52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53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54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55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56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57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58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59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60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61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62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63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64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65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66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67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68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69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70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71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72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73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74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75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76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77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78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79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80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81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82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83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84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85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86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887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88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889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90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891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92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893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94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895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96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97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98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899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900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901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902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903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904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905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906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907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908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909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10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11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12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13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914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2</xdr:row>
      <xdr:rowOff>0</xdr:rowOff>
    </xdr:from>
    <xdr:to>
      <xdr:col>2</xdr:col>
      <xdr:colOff>66675</xdr:colOff>
      <xdr:row>2</xdr:row>
      <xdr:rowOff>47625</xdr:rowOff>
    </xdr:to>
    <xdr:pic macro="[5]!DesignIconClicked">
      <xdr:nvPicPr>
        <xdr:cNvPr id="915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916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2</xdr:row>
      <xdr:rowOff>0</xdr:rowOff>
    </xdr:from>
    <xdr:to>
      <xdr:col>3</xdr:col>
      <xdr:colOff>76200</xdr:colOff>
      <xdr:row>2</xdr:row>
      <xdr:rowOff>47625</xdr:rowOff>
    </xdr:to>
    <xdr:pic macro="[5]!DesignIconClicked">
      <xdr:nvPicPr>
        <xdr:cNvPr id="917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918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2</xdr:row>
      <xdr:rowOff>0</xdr:rowOff>
    </xdr:from>
    <xdr:to>
      <xdr:col>4</xdr:col>
      <xdr:colOff>76200</xdr:colOff>
      <xdr:row>2</xdr:row>
      <xdr:rowOff>47625</xdr:rowOff>
    </xdr:to>
    <xdr:pic macro="[5]!DesignIconClicked">
      <xdr:nvPicPr>
        <xdr:cNvPr id="919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920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2</xdr:row>
      <xdr:rowOff>0</xdr:rowOff>
    </xdr:from>
    <xdr:to>
      <xdr:col>5</xdr:col>
      <xdr:colOff>66675</xdr:colOff>
      <xdr:row>2</xdr:row>
      <xdr:rowOff>47625</xdr:rowOff>
    </xdr:to>
    <xdr:pic macro="[5]!DesignIconClicked">
      <xdr:nvPicPr>
        <xdr:cNvPr id="921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922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2</xdr:row>
      <xdr:rowOff>0</xdr:rowOff>
    </xdr:from>
    <xdr:to>
      <xdr:col>0</xdr:col>
      <xdr:colOff>76200</xdr:colOff>
      <xdr:row>2</xdr:row>
      <xdr:rowOff>47625</xdr:rowOff>
    </xdr:to>
    <xdr:pic macro="[5]!DesignIconClicked">
      <xdr:nvPicPr>
        <xdr:cNvPr id="923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24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2</xdr:row>
      <xdr:rowOff>0</xdr:rowOff>
    </xdr:from>
    <xdr:to>
      <xdr:col>1</xdr:col>
      <xdr:colOff>76200</xdr:colOff>
      <xdr:row>2</xdr:row>
      <xdr:rowOff>47625</xdr:rowOff>
    </xdr:to>
    <xdr:pic macro="[5]!DesignIconClicked">
      <xdr:nvPicPr>
        <xdr:cNvPr id="925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92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92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928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929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</xdr:row>
      <xdr:rowOff>0</xdr:rowOff>
    </xdr:from>
    <xdr:to>
      <xdr:col>0</xdr:col>
      <xdr:colOff>285750</xdr:colOff>
      <xdr:row>2</xdr:row>
      <xdr:rowOff>123825</xdr:rowOff>
    </xdr:to>
    <xdr:pic macro="[5]!DesignIconClicked">
      <xdr:nvPicPr>
        <xdr:cNvPr id="930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</xdr:row>
      <xdr:rowOff>0</xdr:rowOff>
    </xdr:from>
    <xdr:to>
      <xdr:col>0</xdr:col>
      <xdr:colOff>247650</xdr:colOff>
      <xdr:row>2</xdr:row>
      <xdr:rowOff>123825</xdr:rowOff>
    </xdr:to>
    <xdr:pic macro="[5]!DesignIconClicked">
      <xdr:nvPicPr>
        <xdr:cNvPr id="93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2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3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4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5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6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7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8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39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0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1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2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3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4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5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6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7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8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49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0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1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2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3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4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5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6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7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8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59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0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1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2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3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4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5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6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7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8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69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0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1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2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3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4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5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6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7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8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79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0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1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2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3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4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5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6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7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8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89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0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1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2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3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4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5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6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7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8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999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0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1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2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3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4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5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6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7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8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09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0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1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2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3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4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5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6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7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8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19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0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1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2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3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4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5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6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7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8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29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0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1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2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3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4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5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6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7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8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39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0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1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2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3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4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5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6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7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8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49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0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1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2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3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4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5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6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7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8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59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0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1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2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3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4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5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6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3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7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23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8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9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69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0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05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1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40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2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2992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28575</xdr:rowOff>
    </xdr:to>
    <xdr:pic macro="[5]!DesignIconClicked">
      <xdr:nvPicPr>
        <xdr:cNvPr id="1073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44500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4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66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5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277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6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92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7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8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79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0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1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2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3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4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5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6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7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8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89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0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1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2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3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4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5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6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7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8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099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0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1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2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3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4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5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6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7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8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09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0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1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2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3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4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5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6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7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8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19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0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1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2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3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4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5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6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7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8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29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0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1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2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3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4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5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6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7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8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39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0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1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2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3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4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5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6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7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8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49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0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1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2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3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4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5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6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7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8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59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0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1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2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3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4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5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6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7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8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69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0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1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2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3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4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5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6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7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8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79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0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1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2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3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4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5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6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7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8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89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0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1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2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3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4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5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6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7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8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199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0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1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2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3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4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5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6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7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8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09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0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1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2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3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4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5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6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7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8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19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0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1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2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3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4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5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6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7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8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29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0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1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2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3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4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5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6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7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8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39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0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1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2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3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4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5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6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7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8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49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0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1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2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3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4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5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6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7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8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59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0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1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2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3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4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5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6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7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8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69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0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1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2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3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4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5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6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7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8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79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0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1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2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3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4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5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6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7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8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89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0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1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2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3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4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5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6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7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8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299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0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1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2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3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4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5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6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7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8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09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0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1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2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3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4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5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6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7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8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19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20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321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2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3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4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5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6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7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8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29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0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1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2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3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4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5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6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7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8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39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0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1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2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3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4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5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6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7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9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48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133350</xdr:rowOff>
    </xdr:to>
    <xdr:pic macro="[5]!DesignIconClicked">
      <xdr:nvPicPr>
        <xdr:cNvPr id="1349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880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0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4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1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2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3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62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4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886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304800</xdr:rowOff>
    </xdr:to>
    <xdr:pic macro="[5]!DesignIconClicked">
      <xdr:nvPicPr>
        <xdr:cNvPr id="1355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03885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6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7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8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59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0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1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2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3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4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5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6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7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8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69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0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1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2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3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4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5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9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6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133350</xdr:rowOff>
    </xdr:to>
    <xdr:pic macro="[5]!DesignIconClicked">
      <xdr:nvPicPr>
        <xdr:cNvPr id="1377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880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8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4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79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0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91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1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62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2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3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86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4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5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89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6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10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7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68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8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592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89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0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1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2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9525</xdr:rowOff>
    </xdr:to>
    <xdr:pic macro="[5]!DesignIconClicked">
      <xdr:nvPicPr>
        <xdr:cNvPr id="1393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44450"/>
          <a:ext cx="1238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4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82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5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752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6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366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7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77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398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429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304800</xdr:rowOff>
    </xdr:to>
    <xdr:pic macro="[5]!DesignIconClicked">
      <xdr:nvPicPr>
        <xdr:cNvPr id="1399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03885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0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11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1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17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2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366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3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82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9525</xdr:rowOff>
    </xdr:to>
    <xdr:pic macro="[5]!DesignIconClicked">
      <xdr:nvPicPr>
        <xdr:cNvPr id="1404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44450"/>
          <a:ext cx="1238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5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592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6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68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7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10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8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89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09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0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86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1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62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2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91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3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4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4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133350</xdr:rowOff>
    </xdr:to>
    <xdr:pic macro="[5]!DesignIconClicked">
      <xdr:nvPicPr>
        <xdr:cNvPr id="1415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880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6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7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9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8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19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0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1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2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3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4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5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6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7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8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29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0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1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2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3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4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5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6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5525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7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93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8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77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39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17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0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11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304800</xdr:rowOff>
    </xdr:to>
    <xdr:pic macro="[5]!DesignIconClicked">
      <xdr:nvPicPr>
        <xdr:cNvPr id="1441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038850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2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429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3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752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4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5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6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7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8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49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0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1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2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3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4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5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6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7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8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429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59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0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1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2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52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3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4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133350</xdr:rowOff>
    </xdr:to>
    <xdr:pic macro="[5]!DesignIconClicked">
      <xdr:nvPicPr>
        <xdr:cNvPr id="1464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2880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5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6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9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7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1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8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69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0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1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2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3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4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5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6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7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8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79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0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1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2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3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4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152400</xdr:rowOff>
    </xdr:to>
    <xdr:pic macro="[5]!DesignIconClicked">
      <xdr:nvPicPr>
        <xdr:cNvPr id="1485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3535025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152400</xdr:rowOff>
    </xdr:to>
    <xdr:pic macro="[5]!DesignIconClicked">
      <xdr:nvPicPr>
        <xdr:cNvPr id="1486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3535025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152400</xdr:rowOff>
    </xdr:to>
    <xdr:pic macro="[5]!DesignIconClicked">
      <xdr:nvPicPr>
        <xdr:cNvPr id="1487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3535025"/>
          <a:ext cx="1238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8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82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89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992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0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1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592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2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67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3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10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57150</xdr:rowOff>
    </xdr:to>
    <xdr:pic macro="[5]!DesignIconClicked">
      <xdr:nvPicPr>
        <xdr:cNvPr id="1494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591550"/>
          <a:ext cx="123825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5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6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86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7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638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498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47625</xdr:rowOff>
    </xdr:to>
    <xdr:pic macro="[5]!DesignIconClicked">
      <xdr:nvPicPr>
        <xdr:cNvPr id="1499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600325"/>
          <a:ext cx="123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0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91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1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52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2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4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3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05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4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18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5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6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04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7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8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3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09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11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40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1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2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3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4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5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6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429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47625</xdr:rowOff>
    </xdr:to>
    <xdr:pic macro="[5]!DesignIconClicked">
      <xdr:nvPicPr>
        <xdr:cNvPr id="1517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600325"/>
          <a:ext cx="123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8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19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0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1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2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3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4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5525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525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26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27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28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29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0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1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2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3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4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5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6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7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8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39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0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1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2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3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4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5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6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7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8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49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0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1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2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3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4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5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6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7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8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59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0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1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2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3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4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5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6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7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8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69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0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1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2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3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4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5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6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7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8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79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0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1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2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3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4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5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6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7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8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89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0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1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2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3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4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5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6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7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8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599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0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1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2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3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4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5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6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7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8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09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0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1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2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3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4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5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6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7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8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19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0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1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2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3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4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5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6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7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8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29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0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1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2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3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4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5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6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7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8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39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0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1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2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3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4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5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6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7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8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49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0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1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2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3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4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5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6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7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8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59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0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1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2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3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4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5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6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7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8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69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0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1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2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3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4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5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6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7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8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79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0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1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2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3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4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5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6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7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8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89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0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1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2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3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4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5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6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7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8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699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0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1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2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3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4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5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6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7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8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09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0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1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2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3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4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5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6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7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8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19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0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1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2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3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4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5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6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7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8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29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0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1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2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3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4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5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6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7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8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39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0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1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2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3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4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5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6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7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8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49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0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1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2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3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4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5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6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7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8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59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0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1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2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3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4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5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6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7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8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69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0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1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2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3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4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5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6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7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8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79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0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1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2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3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4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5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6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7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8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89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0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1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2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3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4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5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6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7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8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799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0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1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2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3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4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5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6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7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8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09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0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1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2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3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4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5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6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7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8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19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0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1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2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3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4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5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6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7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8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29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0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1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2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3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4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5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6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7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8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39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0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1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2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3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4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5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6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7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8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49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0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1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2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3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4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5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6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7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8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59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0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1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2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3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4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1865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7048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6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48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6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48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68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69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524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0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001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001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2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3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4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5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6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7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8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79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0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1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2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3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4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5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6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7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8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89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0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1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2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3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4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5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6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7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8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899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0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1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2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3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4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5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6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7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8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09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0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1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2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3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4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5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6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7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8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19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0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1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2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3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4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5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6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7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8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29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0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1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2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3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4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5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6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7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8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39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0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1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2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3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4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5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6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7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8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49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0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1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2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3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4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5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6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7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8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59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0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1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2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3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4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5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6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7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8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69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0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1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2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3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4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5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6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7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8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79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0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1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2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3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4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5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6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7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8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89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0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1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2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3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4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5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6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7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8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1999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0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1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2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3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4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5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6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7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8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09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0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1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2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3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4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5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6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7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8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19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0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1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2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3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4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5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6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7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8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29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0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1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2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3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4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5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6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7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8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39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0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1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2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3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4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5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6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7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8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49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0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1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2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3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4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5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6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7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8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59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0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1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2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3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4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5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6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7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8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69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0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1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2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3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4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5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6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7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8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79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0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1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2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3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4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5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6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7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8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89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0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1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2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3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4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5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6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7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8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099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0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1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2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3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4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5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6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7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8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09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0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1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2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3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4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5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6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7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8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19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0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1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2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3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4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5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6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7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8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29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0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1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2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3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4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5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6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7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8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39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0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1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2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3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4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5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6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7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8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49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0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1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2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3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4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5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6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7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8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59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0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1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2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3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4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5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6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7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8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69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0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1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2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3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4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5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6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7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8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79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0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1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2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3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4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5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6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7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8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89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0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1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2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3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4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5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6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7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8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199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0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1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2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3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4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5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6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7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8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09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0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1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2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3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4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5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6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7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8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19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0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1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2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3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4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5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6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7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8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29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0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1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2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3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4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5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6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7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38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39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0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1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2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3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4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5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6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7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8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49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250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1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2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3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4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5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6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7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8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59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0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1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2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3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4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5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6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7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8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69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0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1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2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3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4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5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6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7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8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79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0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1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2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3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4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5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6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7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8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89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0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1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2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3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4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5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6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7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8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299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0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1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2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3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4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5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6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7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8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09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0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1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2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3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4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5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6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7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8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19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0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1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2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3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4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5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6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7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8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29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0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1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2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3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4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5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6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7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8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39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0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1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2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3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4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5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6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7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8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49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0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1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2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3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4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5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6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357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39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58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59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0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1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2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3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4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5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6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7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8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69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0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1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2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3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4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5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6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7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8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79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0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1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2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3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4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5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6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7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8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89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0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1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2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3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4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5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6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7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8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399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0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1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2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3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4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5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6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7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8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09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0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1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2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3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4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5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6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7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8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19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0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1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2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3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4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5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6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7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8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29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0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1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2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3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4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5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6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7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8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39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0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1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2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3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4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5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6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7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8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49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0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1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2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3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4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5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6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7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8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59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0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1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2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3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4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5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6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7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8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69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0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1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2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3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4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5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6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7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8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79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0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1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2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3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4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5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6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7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8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89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0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1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2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3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4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5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6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7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8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499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0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1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2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3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4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5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6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7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8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09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0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1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2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3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4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5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6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7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8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19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0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1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2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3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4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5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6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7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8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29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0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1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2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3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4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5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6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7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8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39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0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1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2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3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4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5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6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7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8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49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0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1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2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3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4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5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6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7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8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59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0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1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2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3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4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5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6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7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8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69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0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1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2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3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4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5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6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7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8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79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0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1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2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3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4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5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6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7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8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89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0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1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2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3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4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5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6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7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8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599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0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1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2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3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4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5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6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7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8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09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0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1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2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3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4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5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6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7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8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19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0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1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2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3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4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5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6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7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8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29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0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1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2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3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4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5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6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7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8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39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0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1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2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3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4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5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6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7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8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49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0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1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2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3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4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5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6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7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8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59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0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1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2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3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4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5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6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7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8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69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0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1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2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3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4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5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6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7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8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79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0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1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2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3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4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5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6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7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8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89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0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1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2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3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4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5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6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2697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439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698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18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699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37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5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1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8278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2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859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3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40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4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421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5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61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2706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64375"/>
          <a:ext cx="1238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7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973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8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35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09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4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0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345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1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526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2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707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3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088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4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5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5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546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6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727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17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08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2718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48902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2719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56522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0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251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1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632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2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813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3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13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4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194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5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84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6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7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0070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8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260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29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451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2730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603825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1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3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2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02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3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21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4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21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5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02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6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83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7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9527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8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575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39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84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0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727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2741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507950"/>
          <a:ext cx="1238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2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35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3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93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4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479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5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088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6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707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57150</xdr:rowOff>
    </xdr:to>
    <xdr:pic macro="[5]!DesignIconClicked">
      <xdr:nvPicPr>
        <xdr:cNvPr id="2747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697825"/>
          <a:ext cx="12382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8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45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49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40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247650</xdr:rowOff>
    </xdr:to>
    <xdr:pic macro="[5]!DesignIconClicked">
      <xdr:nvPicPr>
        <xdr:cNvPr id="2750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430875"/>
          <a:ext cx="123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1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897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5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3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573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4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37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5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18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2756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365825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7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651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58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0451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2759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679900"/>
          <a:ext cx="123825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0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527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1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9655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2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194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2763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79654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4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08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5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803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6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526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7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35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8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421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69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78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70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02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71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44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7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944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7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135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74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135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2775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32597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2776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32597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2777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7646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295275</xdr:rowOff>
    </xdr:to>
    <xdr:pic macro="[5]!DesignIconClicked">
      <xdr:nvPicPr>
        <xdr:cNvPr id="2778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869400"/>
          <a:ext cx="1238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2779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7646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0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050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1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2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3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4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5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6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7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8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89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0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1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2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3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4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5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6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7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8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799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0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1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2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3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4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5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6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7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8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09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0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1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2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3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4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5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6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7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8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19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0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1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2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3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4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5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6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7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8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29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0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1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2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3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4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5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6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7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8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39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0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1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2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3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4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5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6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7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8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49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0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1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2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3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4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5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6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7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8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59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0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1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2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3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4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5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6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7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8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69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0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1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2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3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4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5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6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7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8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79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0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1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2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3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4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5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6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7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8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89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0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1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2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3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4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5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6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7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8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899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0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1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2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3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4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5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6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7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8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09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0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1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2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3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4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5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6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7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8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19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0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1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2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3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4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5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6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7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8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29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0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1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2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3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4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5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6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7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8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39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0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1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2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3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4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5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6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7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8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49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0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1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2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3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4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5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6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7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8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59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0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1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2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3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4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5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6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7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8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69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0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1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2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3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4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5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6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7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8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79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0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1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2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3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4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5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6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7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8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89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0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1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2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3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4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5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6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7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8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2999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0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1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2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3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4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5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6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7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8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09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0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1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2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3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4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5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6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7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8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19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0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1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2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3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4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5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6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7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8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29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0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1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2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3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4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5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6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7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8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39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0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1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2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3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4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5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6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7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8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49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0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1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2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3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4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5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6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7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8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59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0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1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2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3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4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5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6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7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8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69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0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1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2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3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4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5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6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7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8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79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0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1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2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3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4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5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6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7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8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89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0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1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2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3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4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5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6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7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8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099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0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1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2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3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4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5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6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7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8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09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0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1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2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3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4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5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6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7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8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19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0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1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2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3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4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5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6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7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8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29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0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1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2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3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4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5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6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7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8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39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0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1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2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3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4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5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6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47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48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49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0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1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2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3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4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5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6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7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8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159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0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1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2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3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4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5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6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7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8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69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0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1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2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3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4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5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6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7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8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79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0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1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2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3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4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5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6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7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8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89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0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1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2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3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4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5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6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7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8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199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0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1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2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3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4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5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6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7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8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09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0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1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2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3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4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5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6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7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8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19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0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1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2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3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4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5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6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7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8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29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0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1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2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3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4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5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6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7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8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39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0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1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2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3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4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5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6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7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8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49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0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1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2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3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4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5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6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7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8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59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0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1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2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3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4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5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266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725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67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68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69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0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1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2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3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4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5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6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7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8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79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0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1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2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3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4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5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6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7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8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89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0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1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2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3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4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5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6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7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8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299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0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1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2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3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4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5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6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7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8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09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0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1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2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3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4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5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6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7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8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19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0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1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2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3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4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5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6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7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8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29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0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1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2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3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4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5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6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7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8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39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0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1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2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3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4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5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6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7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8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49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0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1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2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3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4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5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6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7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8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59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0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1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2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3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4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5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6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7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8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69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0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1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2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3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4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5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6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7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8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79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0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1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2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3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4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5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6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7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8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89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0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1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2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3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4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5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6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7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8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399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0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1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2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3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4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5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6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7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8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09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0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1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2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3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4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5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6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7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8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19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0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1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2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3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4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5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6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7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8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29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0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1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2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3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4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5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6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7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8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39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0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1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2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3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4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5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6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7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8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49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0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1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2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3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4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5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6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7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8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59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0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1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2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3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4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5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6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7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8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69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0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1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2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3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4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5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6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7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8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79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0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1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2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3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4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5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6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7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8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89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0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1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2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3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4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5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6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7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8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499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0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1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2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3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4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5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6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7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8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09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0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1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2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3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4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5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6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7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8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19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0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1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2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3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4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5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6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7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8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29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0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1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2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3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4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5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6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7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8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39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0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1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2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3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4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5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6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7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8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49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0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1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2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3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4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5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6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7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8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59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0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1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2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3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4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5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6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7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8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69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0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1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2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3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4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5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6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7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8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79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0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1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2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3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4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5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6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7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8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89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0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1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2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3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4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5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6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7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8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599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0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1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2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3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4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5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606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725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07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08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09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0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1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2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3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4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5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6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7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8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19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0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1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2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3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4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5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6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7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8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29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0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1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2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3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4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5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6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7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8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39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0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1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2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3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4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5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6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7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8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49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0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1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2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3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4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5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6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7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8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59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0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1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2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3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4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5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6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7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8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69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0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1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2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3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4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5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6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7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8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79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0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1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2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3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4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5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6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7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8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89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0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1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2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3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4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5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6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7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8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699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0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1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2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3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4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5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6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7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8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09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0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1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2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3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4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5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6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7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8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19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0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1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2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3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4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5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6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7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8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29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0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1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2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3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4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5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6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7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8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39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0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1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2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3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4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5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6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7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8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49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0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1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2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3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4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5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6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7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8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59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0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1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2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3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4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5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6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7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8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69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0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1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2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3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4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5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6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7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8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79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0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1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2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3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4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5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6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7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8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89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0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1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2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3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4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5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6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7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8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799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0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1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2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3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4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5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6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7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8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09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0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1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2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3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4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5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6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7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8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19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0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1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2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3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4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5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6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7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8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29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0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1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2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3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4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5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6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7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8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39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0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1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2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3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4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5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6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7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8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49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0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1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2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3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4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5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6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7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8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59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0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1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2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3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4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5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6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7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8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69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0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1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2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3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4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5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6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7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8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79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0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1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2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3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4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5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6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7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8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89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0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1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2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3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4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5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6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7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8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899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0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1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2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3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4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5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6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7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8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09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0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1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2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3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4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5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6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7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8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19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0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1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2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3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4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5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6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7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8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29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0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1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2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3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4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5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6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7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8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39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0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1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2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3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4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5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6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7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8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49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0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1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2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3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4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5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6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7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8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59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0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1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2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3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4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5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6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7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8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69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70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71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72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73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4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5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6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7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8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79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0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1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2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3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4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3985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86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87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88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89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0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1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2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3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4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5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6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7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8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3999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0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1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2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3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4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5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6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7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8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09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0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1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2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3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4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5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6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7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8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19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0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1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2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3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4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5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6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7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8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29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0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1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2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3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4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5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6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7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8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39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0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1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2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3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4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5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6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7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8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49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0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1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2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3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4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5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6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7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8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59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0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1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2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3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4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5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6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7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8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69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0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1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2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3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4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5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6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7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8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79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0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1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2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3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4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5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6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7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8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89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90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91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092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3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4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5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6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7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8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099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0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1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2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3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4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5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6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7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8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09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0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1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2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3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4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5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6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7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8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19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0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1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2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3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4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5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6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7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8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29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0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1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2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3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4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5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6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7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8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39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0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1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2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3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4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5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6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7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8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49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0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1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2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3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4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5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6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7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8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59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0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1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2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3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4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5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6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7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8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69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0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1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2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3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4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5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6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7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8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79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0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1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2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3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4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5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6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7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8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89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0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1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2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3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4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5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6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7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8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199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0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1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2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3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4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5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6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7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8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09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0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1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2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3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4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5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6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7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8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19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0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1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2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3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4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5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6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7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8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29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0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1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2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3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4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5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6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7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8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39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0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1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2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3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4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5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6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7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8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49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0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1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2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3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4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5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6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7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8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59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0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1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2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3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4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5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6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7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8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69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0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1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2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3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4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5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6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7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8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79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0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1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2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3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4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5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6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7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8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89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0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1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2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3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4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5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6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7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8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299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0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1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2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3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4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5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6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7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8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09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0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1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2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3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4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5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6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7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8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19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0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1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2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3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4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5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6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7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8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29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0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1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2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3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4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5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6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7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8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39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0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1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2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3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4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5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6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7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8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49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0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1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2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3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4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5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6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7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8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59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0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1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2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3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4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5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6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7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8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69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0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1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2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3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4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5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6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7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8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79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0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1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2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3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4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5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6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7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8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89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0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1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2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3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4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5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6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7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8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399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0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1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2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3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4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5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6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7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8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09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0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1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2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3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4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5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6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7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8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19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0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1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2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3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4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5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6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7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8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29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30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31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432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13360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3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4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5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6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7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8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39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0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1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2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3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4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5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6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7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8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49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0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1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2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3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4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5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6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7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8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59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0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1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2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3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4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5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6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7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8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69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0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1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2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3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4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5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6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7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8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79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0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1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2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3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4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5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6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7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8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89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0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1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2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3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4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5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6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7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8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499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0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1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2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3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4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5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6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7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8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09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0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1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2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3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4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5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6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7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8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19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0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1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2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3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4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5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6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7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8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29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0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1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2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3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4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5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6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7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8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39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0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1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2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3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4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5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6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7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8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49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0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1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2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3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4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5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6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7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8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59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0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1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2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3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4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5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6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7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33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8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4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69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0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1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5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2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191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3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36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4574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15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5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6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7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677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8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278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79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982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82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1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735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2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512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3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5316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4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516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5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716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4586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868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7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116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8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497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89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687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0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459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1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649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2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849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3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4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4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8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5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99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6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18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597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383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4598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8352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4599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65972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0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155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1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5360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2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736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3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945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4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13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5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36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6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536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7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3917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8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117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09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31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4610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469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1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2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3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11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4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5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6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7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8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19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0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1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2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3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4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5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6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7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8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29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0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1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2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3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4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5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6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7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8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39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0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1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2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3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4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5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6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7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8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49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0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1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2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3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4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5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6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7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8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59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0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1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2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3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4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5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6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7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8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69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0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1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2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3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4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5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6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7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8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79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0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1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2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3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4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5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6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7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8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89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0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1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2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3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4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5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6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7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8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699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0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1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2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3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4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5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6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7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8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09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0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1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2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3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4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5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6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7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8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19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0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1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2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3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4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5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6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7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8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29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0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1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2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3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4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5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6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7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8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39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0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1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2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3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4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5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6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7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8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49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0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1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2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3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4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5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6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7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8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59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0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1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2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3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4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5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6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7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8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69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0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1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2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3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4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5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6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7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8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79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0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1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2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3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4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5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6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7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8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89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0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1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2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3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4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5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6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7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8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799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0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1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2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3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4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5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6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7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8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09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0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1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2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3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4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5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6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7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8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19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0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1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2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3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4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5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6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7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8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29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0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1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2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3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4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5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6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7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8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39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0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1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2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3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4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5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46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47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48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49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0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1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2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3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4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5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6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7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4858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59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0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1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2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3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4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5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6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7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8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69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0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1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2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3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4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5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6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7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8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79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0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1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2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3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4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5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6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7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8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89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0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1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2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3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4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5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6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7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8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899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0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1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2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3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4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5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6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7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8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09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0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1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2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3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4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5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6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7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8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19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0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1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2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07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3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4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86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5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6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7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8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29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228600</xdr:rowOff>
    </xdr:to>
    <xdr:pic macro="[5]!DesignIconClicked">
      <xdr:nvPicPr>
        <xdr:cNvPr id="4930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15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1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2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3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4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5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6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7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8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01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39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11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0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1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2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51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3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536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4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36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5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183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4946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935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7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8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8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583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49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440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0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4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1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849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4952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840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3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687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4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316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5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887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6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354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7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382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8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192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59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982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0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8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1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2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228600</xdr:rowOff>
    </xdr:to>
    <xdr:pic macro="[5]!DesignIconClicked">
      <xdr:nvPicPr>
        <xdr:cNvPr id="4963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15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4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5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86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6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7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07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68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4969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269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0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1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2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2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3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4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5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6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7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8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79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431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4980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669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1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51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2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926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3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4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5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6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7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8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89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0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13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1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2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3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4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5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6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7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4998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38100</xdr:rowOff>
    </xdr:to>
    <xdr:pic macro="[5]!DesignIconClicked">
      <xdr:nvPicPr>
        <xdr:cNvPr id="4999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1888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0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383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1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383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2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3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4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5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649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6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497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7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516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8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735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09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5825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0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2220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1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687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2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3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01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4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5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6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7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8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19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0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1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2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3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4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5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6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7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8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29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0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1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2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3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4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5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6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7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8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39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0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1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2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3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4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5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6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7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8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49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0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1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2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3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4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5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6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7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58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5059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5060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5061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2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3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6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4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5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6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77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7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8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867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69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0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1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2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266700</xdr:rowOff>
    </xdr:to>
    <xdr:pic macro="[5]!DesignIconClicked">
      <xdr:nvPicPr>
        <xdr:cNvPr id="5073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48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4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5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6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6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7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5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8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10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79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0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4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1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2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33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3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4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191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5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6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7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8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89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0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266700</xdr:rowOff>
    </xdr:to>
    <xdr:pic macro="[5]!DesignIconClicked">
      <xdr:nvPicPr>
        <xdr:cNvPr id="5091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48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2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3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4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5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6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7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8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2220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099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0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1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2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3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4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5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6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7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8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09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0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1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2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3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4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5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6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7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8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19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0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1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2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3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4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5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6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7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8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29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0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1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2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3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4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5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6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7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8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39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0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1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2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3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4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5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6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7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8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49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0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1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2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3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4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5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6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7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8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59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0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1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2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3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4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5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6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7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8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69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0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1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2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3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4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5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6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7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8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79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0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1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2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3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4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5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6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7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8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89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0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1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2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3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4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5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6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7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8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199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0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1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2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3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4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5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6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7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8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09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0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1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2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3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4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5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6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7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8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19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0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1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2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3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4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5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6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7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8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29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0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1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2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3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4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5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6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7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8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39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0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1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2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3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4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5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6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7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8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49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0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1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2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3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4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5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6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7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8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59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0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1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2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3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4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5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6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7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8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69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0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1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2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3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4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5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6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7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8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79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0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1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2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3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4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5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6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7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8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89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0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1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2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3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4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5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6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7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8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299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0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1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2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3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4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5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6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7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8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09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0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1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2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3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4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5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6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7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8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19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0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1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2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3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4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5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6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7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8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29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0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1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2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3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4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5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6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7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8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39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0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1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2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3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4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5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6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7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8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49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0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1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2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3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4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5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6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7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8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59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0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1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2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3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4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5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6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7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8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69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0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1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2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3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4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5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6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7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8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79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0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1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2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3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4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5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6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7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8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89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0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1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2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3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4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5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6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7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8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399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0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1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2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3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4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5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6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7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8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09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0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1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2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3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4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5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6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7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8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19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0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1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2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3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4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5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6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7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8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29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0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1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2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3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4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5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6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7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8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439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0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762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762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2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95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3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95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34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5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334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6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8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7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58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8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782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49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782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545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97317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545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97317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5452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06880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295275</xdr:rowOff>
    </xdr:to>
    <xdr:pic macro="[5]!DesignIconClicked">
      <xdr:nvPicPr>
        <xdr:cNvPr id="5453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17357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5454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06880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55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82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56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57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58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59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0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1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2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3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4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5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6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7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8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69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0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1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2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3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4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5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6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7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8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79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0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1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2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3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4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5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6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7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8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89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0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1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2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3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4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5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6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7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8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499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0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1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2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3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4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5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6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7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8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09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0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1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2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3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4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5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6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7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8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19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0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1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2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3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4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5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6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7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8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29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0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1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2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3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4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5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6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7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8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39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0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1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2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3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4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5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6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7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8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49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0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1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2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3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4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5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6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7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8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59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0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1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2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3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4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5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6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7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8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69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0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1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2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3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4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5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6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7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8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79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0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1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2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3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4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5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6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7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8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89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0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1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2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3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4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6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934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28574</xdr:rowOff>
    </xdr:to>
    <xdr:pic macro="[5]!DesignIconClicked">
      <xdr:nvPicPr>
        <xdr:cNvPr id="5597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087100"/>
          <a:ext cx="123825" cy="685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8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599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0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401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1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349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2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68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25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4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578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5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36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6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54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7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08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116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114301</xdr:rowOff>
    </xdr:to>
    <xdr:pic macro="[5]!DesignIconClicked">
      <xdr:nvPicPr>
        <xdr:cNvPr id="5609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268825"/>
          <a:ext cx="123825" cy="647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0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49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1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87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2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6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3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221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4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40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5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59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6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973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7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24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8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440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19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62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0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00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5621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3838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5622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4600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3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145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4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2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5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6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7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09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8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28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29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479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0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736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1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555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2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746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114298</xdr:rowOff>
    </xdr:to>
    <xdr:pic macro="[5]!DesignIconClicked">
      <xdr:nvPicPr>
        <xdr:cNvPr id="5633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898725"/>
          <a:ext cx="123825" cy="1142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4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12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5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17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6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08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7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8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39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0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1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2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3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4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5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6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7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8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49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0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1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2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3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4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5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6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7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8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59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0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1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2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3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4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5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6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7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8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69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0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1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2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3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4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5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6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7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8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79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0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1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2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3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4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5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6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7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8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89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0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1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2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3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4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5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6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7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8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699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0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1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2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3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4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5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6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7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8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09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0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1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2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3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4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5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6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7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8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19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0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1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2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3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4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5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6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7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8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29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0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1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2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3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4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5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6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7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8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39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0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1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2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3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4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5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6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7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8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49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0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1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2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3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4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5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6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7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8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59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0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1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2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3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4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5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6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7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8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69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0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1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2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3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4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5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6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7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8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79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0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1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2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3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4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5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6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7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8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89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0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1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2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3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4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5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6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7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8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799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0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1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2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3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4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5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6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7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8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09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0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1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2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3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4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5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6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7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8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19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0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1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2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3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4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5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6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7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8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29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0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1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2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3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4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5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6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7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8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39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0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1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2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3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4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5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6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7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8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49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0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1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2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3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4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5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6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7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8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59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0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1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2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3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4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5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6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7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8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69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0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1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2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3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4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5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6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7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8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79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80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5881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2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3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4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5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6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7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8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89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0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1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2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3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4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5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6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7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8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899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0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1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2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3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4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5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6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7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08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95253</xdr:rowOff>
    </xdr:to>
    <xdr:pic macro="[5]!DesignIconClicked">
      <xdr:nvPicPr>
        <xdr:cNvPr id="5909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0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1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2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3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4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152401</xdr:rowOff>
    </xdr:to>
    <xdr:pic macro="[5]!DesignIconClicked">
      <xdr:nvPicPr>
        <xdr:cNvPr id="5915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6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7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8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19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0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1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2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3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4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5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6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7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8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29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0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1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2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3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4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5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6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95253</xdr:rowOff>
    </xdr:to>
    <xdr:pic macro="[5]!DesignIconClicked">
      <xdr:nvPicPr>
        <xdr:cNvPr id="5937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8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39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0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1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2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3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4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5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6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7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8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49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0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1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2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142875</xdr:rowOff>
    </xdr:to>
    <xdr:pic macro="[5]!DesignIconClicked">
      <xdr:nvPicPr>
        <xdr:cNvPr id="5953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8966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4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5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6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7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58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152401</xdr:rowOff>
    </xdr:to>
    <xdr:pic macro="[5]!DesignIconClicked">
      <xdr:nvPicPr>
        <xdr:cNvPr id="5959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0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1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82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2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508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3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17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4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12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5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81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6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479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7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28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68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62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127477</xdr:rowOff>
    </xdr:to>
    <xdr:pic macro="[5]!DesignIconClicked">
      <xdr:nvPicPr>
        <xdr:cNvPr id="5969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93275"/>
          <a:ext cx="123825" cy="279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0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24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1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87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2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36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3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973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4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59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85725</xdr:rowOff>
    </xdr:to>
    <xdr:pic macro="[5]!DesignIconClicked">
      <xdr:nvPicPr>
        <xdr:cNvPr id="5975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221325"/>
          <a:ext cx="123825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6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6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7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54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666750</xdr:rowOff>
    </xdr:to>
    <xdr:pic macro="[5]!DesignIconClicked">
      <xdr:nvPicPr>
        <xdr:cNvPr id="5978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935325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79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401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0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25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1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887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2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68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3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49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4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5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142875</xdr:rowOff>
    </xdr:to>
    <xdr:pic macro="[5]!DesignIconClicked">
      <xdr:nvPicPr>
        <xdr:cNvPr id="5986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8966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7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8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89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0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1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114301</xdr:rowOff>
    </xdr:to>
    <xdr:pic macro="[5]!DesignIconClicked">
      <xdr:nvPicPr>
        <xdr:cNvPr id="5992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660725"/>
          <a:ext cx="123825" cy="114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3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4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5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94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6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7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5998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95253</xdr:rowOff>
    </xdr:to>
    <xdr:pic macro="[5]!DesignIconClicked">
      <xdr:nvPicPr>
        <xdr:cNvPr id="5999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0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1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2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7746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6003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965275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4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81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5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6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7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8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09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0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1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2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3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09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4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5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6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7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8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19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0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1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142872</xdr:rowOff>
    </xdr:to>
    <xdr:pic macro="[5]!DesignIconClicked">
      <xdr:nvPicPr>
        <xdr:cNvPr id="6022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4869775"/>
          <a:ext cx="123825" cy="685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3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00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4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68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5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6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7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8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40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29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87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0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1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78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2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06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3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294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4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411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5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6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82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7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152401</xdr:rowOff>
    </xdr:to>
    <xdr:pic macro="[5]!DesignIconClicked">
      <xdr:nvPicPr>
        <xdr:cNvPr id="6038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39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0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1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2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3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4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5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6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7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8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49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0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1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2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3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4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5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6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7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8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59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0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95253</xdr:rowOff>
    </xdr:to>
    <xdr:pic macro="[5]!DesignIconClicked">
      <xdr:nvPicPr>
        <xdr:cNvPr id="6061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2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3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4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5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6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7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8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69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0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1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2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3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4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5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6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7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8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79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0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1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146047</xdr:rowOff>
    </xdr:to>
    <xdr:pic macro="[5]!DesignIconClicked">
      <xdr:nvPicPr>
        <xdr:cNvPr id="6082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146047</xdr:rowOff>
    </xdr:to>
    <xdr:pic macro="[5]!DesignIconClicked">
      <xdr:nvPicPr>
        <xdr:cNvPr id="6083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146047</xdr:rowOff>
    </xdr:to>
    <xdr:pic macro="[5]!DesignIconClicked">
      <xdr:nvPicPr>
        <xdr:cNvPr id="6084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5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6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934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7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8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89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0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189697</xdr:rowOff>
    </xdr:to>
    <xdr:pic macro="[5]!DesignIconClicked">
      <xdr:nvPicPr>
        <xdr:cNvPr id="6091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475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2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3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4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5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9524</xdr:rowOff>
    </xdr:to>
    <xdr:pic macro="[5]!DesignIconClicked">
      <xdr:nvPicPr>
        <xdr:cNvPr id="6096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7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8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099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0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1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91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2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3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4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5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6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8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09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0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1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2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3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9524</xdr:rowOff>
    </xdr:to>
    <xdr:pic macro="[5]!DesignIconClicked">
      <xdr:nvPicPr>
        <xdr:cNvPr id="6114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5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6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7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8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19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20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21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294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122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3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4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5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6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7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8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29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0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1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2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3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4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5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6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7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8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39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0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1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2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3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4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5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6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7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8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49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0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1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2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3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4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5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6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7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8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59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0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1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2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3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4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5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6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7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8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69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0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1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2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3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4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5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6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7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8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79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0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1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2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3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4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5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6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7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8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89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0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1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2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3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4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5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6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7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8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199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0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1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2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3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4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5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6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7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8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09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0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1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2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3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4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5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6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7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8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19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0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1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2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3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4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5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6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7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8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29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0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1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2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3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4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5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6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7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8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39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0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1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2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3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4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5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6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7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8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49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0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1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2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3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4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5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6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7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8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59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0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1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2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3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4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5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6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7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8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69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0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1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2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3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4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5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6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7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8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79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0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1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2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3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4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5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6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7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8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89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0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1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2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3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4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5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6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7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8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299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0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1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2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3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4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5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6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7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8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09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0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1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2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3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4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5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6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7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8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19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0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1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2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3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4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5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6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7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8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29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0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1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2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3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4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5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6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7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8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39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0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1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2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3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4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5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6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7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8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49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0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1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2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3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4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5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6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7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8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59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0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1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2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3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4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5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6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7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8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69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0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1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2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3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4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5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6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7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8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79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0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1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2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3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4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5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6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7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8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89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0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1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2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3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4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5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6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7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8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399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0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1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2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3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4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5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6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7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8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09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0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1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2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3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4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5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6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7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8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19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0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1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2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3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4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5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6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7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8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29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0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1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2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3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4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5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6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7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8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39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0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1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2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3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4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5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6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7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8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49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0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1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2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3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4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5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6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7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8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59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60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61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462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3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4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69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49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70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449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71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39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7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639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647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3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6474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83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6475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64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133351</xdr:rowOff>
    </xdr:to>
    <xdr:pic macro="[5]!DesignIconClicked">
      <xdr:nvPicPr>
        <xdr:cNvPr id="6476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745200"/>
          <a:ext cx="123825" cy="2009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6477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64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78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935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79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0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1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2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3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5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6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7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8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89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6490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1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2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3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4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5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6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7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8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499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6500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1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2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3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4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5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6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7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8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09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0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1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2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3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4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5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6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7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8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19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0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1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6522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3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4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5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6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7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8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29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0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1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2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3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28575</xdr:rowOff>
    </xdr:to>
    <xdr:pic macro="[5]!DesignIconClicked">
      <xdr:nvPicPr>
        <xdr:cNvPr id="6534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5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6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7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8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39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0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1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2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3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4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6545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6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7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8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49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0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1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2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3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4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5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6556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59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1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2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5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6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7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8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69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0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1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2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3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4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5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6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7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8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79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0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1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2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3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4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5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6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7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8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89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0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1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2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3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4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5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6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7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8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599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0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1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2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3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4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5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6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7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8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09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0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1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2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3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4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5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6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7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8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19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0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1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2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3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4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5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6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7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8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29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0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1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2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3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4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5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6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7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8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39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0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1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2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3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4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5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6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7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8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49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0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1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2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3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4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5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6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7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8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59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0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1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2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3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4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5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6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7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8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69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0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1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2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3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4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5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6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7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8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79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0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1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2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3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4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5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6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7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8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89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0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1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2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3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4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5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6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7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8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699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0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1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2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3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5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934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219074</xdr:rowOff>
    </xdr:to>
    <xdr:pic macro="[5]!DesignIconClicked">
      <xdr:nvPicPr>
        <xdr:cNvPr id="6706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087100"/>
          <a:ext cx="123825" cy="685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7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8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09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401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0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349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1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68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2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25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3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578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4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36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5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654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6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7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116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95251</xdr:rowOff>
    </xdr:to>
    <xdr:pic macro="[5]!DesignIconClicked">
      <xdr:nvPicPr>
        <xdr:cNvPr id="6718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268825"/>
          <a:ext cx="123825" cy="647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19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49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0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87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1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6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2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221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3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40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4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59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5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973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6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24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7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440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8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62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29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00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6730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3838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6731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4600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2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145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3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2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4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5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6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09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7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28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8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479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39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736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0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555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1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746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114298</xdr:rowOff>
    </xdr:to>
    <xdr:pic macro="[5]!DesignIconClicked">
      <xdr:nvPicPr>
        <xdr:cNvPr id="6742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898725"/>
          <a:ext cx="123825" cy="1142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3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12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4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17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5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08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6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7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8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49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0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1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2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3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4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5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6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7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8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59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0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1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2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3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4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5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6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7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8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69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0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1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2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3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4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5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6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7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8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79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0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1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2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3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4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5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6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7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8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89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0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1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2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3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4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5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6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7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8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799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0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1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2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3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4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5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6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7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8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09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0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1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2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3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4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5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6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7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8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19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0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1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2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3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4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5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6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7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8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29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0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1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2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3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4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5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6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7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8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39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0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1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2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3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4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5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6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7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8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49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0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1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2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3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4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5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6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7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8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59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0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1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2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3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4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5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6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7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8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69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0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1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2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3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4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5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6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7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8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79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0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1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2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3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4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5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6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7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8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89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0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1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2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3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4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5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6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7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8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899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0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1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2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3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4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5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6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7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8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09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0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1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2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3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4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5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6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7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8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19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0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1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2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3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4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5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6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7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8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29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0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1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2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3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4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5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6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7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8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39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0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1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2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3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4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5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6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7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8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49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0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1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2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3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4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5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6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7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8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59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0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1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2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3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4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5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6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7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8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69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0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1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2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3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4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5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6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7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78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79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0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1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2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3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4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5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6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7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8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89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6990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1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2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3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4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5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6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7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8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6999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0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1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2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3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4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5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6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7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8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09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0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1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2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3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4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5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6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7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247653</xdr:rowOff>
    </xdr:to>
    <xdr:pic macro="[5]!DesignIconClicked">
      <xdr:nvPicPr>
        <xdr:cNvPr id="7018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19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0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1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2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3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95251</xdr:rowOff>
    </xdr:to>
    <xdr:pic macro="[5]!DesignIconClicked">
      <xdr:nvPicPr>
        <xdr:cNvPr id="7024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5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6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7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8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29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0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1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2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3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4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5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6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7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8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39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0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1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2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3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4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5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247653</xdr:rowOff>
    </xdr:to>
    <xdr:pic macro="[5]!DesignIconClicked">
      <xdr:nvPicPr>
        <xdr:cNvPr id="7046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7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8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49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0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1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2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3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4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5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6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7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8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59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0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1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7062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8966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3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4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5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6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7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95251</xdr:rowOff>
    </xdr:to>
    <xdr:pic macro="[5]!DesignIconClicked">
      <xdr:nvPicPr>
        <xdr:cNvPr id="7068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69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0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82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1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508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2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317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3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127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4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81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5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479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6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28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7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62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98902</xdr:rowOff>
    </xdr:to>
    <xdr:pic macro="[5]!DesignIconClicked">
      <xdr:nvPicPr>
        <xdr:cNvPr id="7078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93275"/>
          <a:ext cx="123825" cy="279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79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24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0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87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1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364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2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973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3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59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85725</xdr:rowOff>
    </xdr:to>
    <xdr:pic macro="[5]!DesignIconClicked">
      <xdr:nvPicPr>
        <xdr:cNvPr id="7084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221325"/>
          <a:ext cx="123825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5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6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6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54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266700</xdr:rowOff>
    </xdr:to>
    <xdr:pic macro="[5]!DesignIconClicked">
      <xdr:nvPicPr>
        <xdr:cNvPr id="7087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935325"/>
          <a:ext cx="123825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8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401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89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258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0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887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1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687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2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496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3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31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4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7095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8966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6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7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8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099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0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114301</xdr:rowOff>
    </xdr:to>
    <xdr:pic macro="[5]!DesignIconClicked">
      <xdr:nvPicPr>
        <xdr:cNvPr id="7101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660725"/>
          <a:ext cx="123825" cy="114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2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3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4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94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5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6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7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247653</xdr:rowOff>
    </xdr:to>
    <xdr:pic macro="[5]!DesignIconClicked">
      <xdr:nvPicPr>
        <xdr:cNvPr id="7108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09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0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1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7746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104775</xdr:rowOff>
    </xdr:to>
    <xdr:pic macro="[5]!DesignIconClicked">
      <xdr:nvPicPr>
        <xdr:cNvPr id="7112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965275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3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81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4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5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6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7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8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19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0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1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2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09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3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4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5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6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7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8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29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0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152397</xdr:rowOff>
    </xdr:to>
    <xdr:pic macro="[5]!DesignIconClicked">
      <xdr:nvPicPr>
        <xdr:cNvPr id="7131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4869775"/>
          <a:ext cx="123825" cy="685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2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00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3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68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4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5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6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7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402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8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878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39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0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782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1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306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2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294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3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2411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4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85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5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82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6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95251</xdr:rowOff>
    </xdr:to>
    <xdr:pic macro="[5]!DesignIconClicked">
      <xdr:nvPicPr>
        <xdr:cNvPr id="7147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8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49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0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1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2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3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4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5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6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7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8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59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0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1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2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3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4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5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6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7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8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69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247653</xdr:rowOff>
    </xdr:to>
    <xdr:pic macro="[5]!DesignIconClicked">
      <xdr:nvPicPr>
        <xdr:cNvPr id="7170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1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2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3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4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5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6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7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8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79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0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1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2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3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4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5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6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7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8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89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0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50797</xdr:rowOff>
    </xdr:to>
    <xdr:pic macro="[5]!DesignIconClicked">
      <xdr:nvPicPr>
        <xdr:cNvPr id="7191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50797</xdr:rowOff>
    </xdr:to>
    <xdr:pic macro="[5]!DesignIconClicked">
      <xdr:nvPicPr>
        <xdr:cNvPr id="7192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50797</xdr:rowOff>
    </xdr:to>
    <xdr:pic macro="[5]!DesignIconClicked">
      <xdr:nvPicPr>
        <xdr:cNvPr id="7193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77600"/>
          <a:ext cx="123825" cy="5841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4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12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5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934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6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7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44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8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199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8722</xdr:rowOff>
    </xdr:to>
    <xdr:pic macro="[5]!DesignIconClicked">
      <xdr:nvPicPr>
        <xdr:cNvPr id="7200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475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1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2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3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4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161924</xdr:rowOff>
    </xdr:to>
    <xdr:pic macro="[5]!DesignIconClicked">
      <xdr:nvPicPr>
        <xdr:cNvPr id="7205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6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7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8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09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0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391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1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2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3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4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5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7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8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19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0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1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2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6</xdr:row>
      <xdr:rowOff>161924</xdr:rowOff>
    </xdr:to>
    <xdr:pic macro="[5]!DesignIconClicked">
      <xdr:nvPicPr>
        <xdr:cNvPr id="7223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4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5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6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7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8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29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30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294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231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2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3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4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5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6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7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8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39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0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1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2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3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4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5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6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7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8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49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0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1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2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3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4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5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6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7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8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59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0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1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2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3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4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5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6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7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8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69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0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1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2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3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4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5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6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7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8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79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0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1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2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3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4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5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6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7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8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89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0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1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2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3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4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5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6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7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8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299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0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1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2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3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4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5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6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7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8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09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0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1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2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3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4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5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6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7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8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19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0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1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2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3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4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5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6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7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8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29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0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1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2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3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4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5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6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7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8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39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0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1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2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3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4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5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6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7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8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49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0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1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2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3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4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5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6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7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8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59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0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1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2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3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4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5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6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7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8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69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0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1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2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3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4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5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6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7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8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79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0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1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2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3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4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5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6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7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8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89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0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1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2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3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4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5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6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7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8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399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0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1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2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3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4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5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6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7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8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09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0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1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2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3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4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5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6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7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8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19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0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1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2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3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4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5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6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7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8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29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0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1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2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3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4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5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6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7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8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39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0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1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2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3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4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5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6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7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8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49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0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1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2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3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4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5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6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7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8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59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0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1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2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3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4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5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6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7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8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69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0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1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2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3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4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5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6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7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8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79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0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1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2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3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4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5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6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7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8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89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0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1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2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3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4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5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6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7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8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499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0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1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2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3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4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5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6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7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8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09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0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1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2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3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4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5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6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7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8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19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0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1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2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3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4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5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6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7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8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29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0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1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2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3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4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5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6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7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8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39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0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1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2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3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4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5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6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7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8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49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0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1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2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3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4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5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6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7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8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59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0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1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2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3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4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5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6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7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8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69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70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7571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2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3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5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8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49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79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449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8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39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8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639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582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3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583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83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584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64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514351</xdr:rowOff>
    </xdr:to>
    <xdr:pic macro="[5]!DesignIconClicked">
      <xdr:nvPicPr>
        <xdr:cNvPr id="7585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745200"/>
          <a:ext cx="123825" cy="2009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586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6404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87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935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88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89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0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1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2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3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4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5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6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7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598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38100</xdr:rowOff>
    </xdr:to>
    <xdr:pic macro="[5]!DesignIconClicked">
      <xdr:nvPicPr>
        <xdr:cNvPr id="7599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0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1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2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3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247650</xdr:rowOff>
    </xdr:to>
    <xdr:pic macro="[5]!DesignIconClicked">
      <xdr:nvPicPr>
        <xdr:cNvPr id="7604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5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6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7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08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38100</xdr:rowOff>
    </xdr:to>
    <xdr:pic macro="[5]!DesignIconClicked">
      <xdr:nvPicPr>
        <xdr:cNvPr id="7609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0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1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2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3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4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5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6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7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8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19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0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247650</xdr:rowOff>
    </xdr:to>
    <xdr:pic macro="[5]!DesignIconClicked">
      <xdr:nvPicPr>
        <xdr:cNvPr id="7621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2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3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4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5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6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7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8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29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0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38100</xdr:rowOff>
    </xdr:to>
    <xdr:pic macro="[5]!DesignIconClicked">
      <xdr:nvPicPr>
        <xdr:cNvPr id="7631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2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3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4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5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247650</xdr:rowOff>
    </xdr:to>
    <xdr:pic macro="[5]!DesignIconClicked">
      <xdr:nvPicPr>
        <xdr:cNvPr id="7636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7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8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39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0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1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2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38100</xdr:rowOff>
    </xdr:to>
    <xdr:pic macro="[5]!DesignIconClicked">
      <xdr:nvPicPr>
        <xdr:cNvPr id="7643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4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5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6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7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8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49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38100</xdr:rowOff>
    </xdr:to>
    <xdr:pic macro="[5]!DesignIconClicked">
      <xdr:nvPicPr>
        <xdr:cNvPr id="7650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1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2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3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7654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5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6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7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8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59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0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1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2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3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4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114300</xdr:rowOff>
    </xdr:to>
    <xdr:pic macro="[5]!DesignIconClicked">
      <xdr:nvPicPr>
        <xdr:cNvPr id="7665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8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69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0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2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3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4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5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6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78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148932</xdr:rowOff>
    </xdr:to>
    <xdr:pic macro="[5]!DesignIconClicked">
      <xdr:nvPicPr>
        <xdr:cNvPr id="7679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672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0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1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2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3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4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5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6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7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8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89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0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153213</xdr:rowOff>
    </xdr:to>
    <xdr:pic macro="[5]!DesignIconClicked">
      <xdr:nvPicPr>
        <xdr:cNvPr id="7691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638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2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3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4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5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6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7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8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699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9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0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90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1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62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2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0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7703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0195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7704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0957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5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89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6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8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7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27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8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09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848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0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229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1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0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2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134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3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4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70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108250</xdr:rowOff>
    </xdr:to>
    <xdr:pic macro="[5]!DesignIconClicked">
      <xdr:nvPicPr>
        <xdr:cNvPr id="7715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858250"/>
          <a:ext cx="123825" cy="10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6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8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7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27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8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67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19" name="BExM8SOCWWQ6X2C3OO3YSA1XB7O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48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0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1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2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3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4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86503</xdr:rowOff>
    </xdr:to>
    <xdr:pic macro="[5]!DesignIconClicked">
      <xdr:nvPicPr>
        <xdr:cNvPr id="7725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6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7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8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29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77128</xdr:rowOff>
    </xdr:to>
    <xdr:pic macro="[5]!DesignIconClicked">
      <xdr:nvPicPr>
        <xdr:cNvPr id="7730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1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2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3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4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86503</xdr:rowOff>
    </xdr:to>
    <xdr:pic macro="[5]!DesignIconClicked">
      <xdr:nvPicPr>
        <xdr:cNvPr id="7735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6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7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8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39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0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1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2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3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4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5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116440</xdr:rowOff>
    </xdr:to>
    <xdr:pic macro="[5]!DesignIconClicked">
      <xdr:nvPicPr>
        <xdr:cNvPr id="7746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7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8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49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0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1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77128</xdr:rowOff>
    </xdr:to>
    <xdr:pic macro="[5]!DesignIconClicked">
      <xdr:nvPicPr>
        <xdr:cNvPr id="7752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3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4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5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467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6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27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7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08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8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753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59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610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0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229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1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62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111073</xdr:rowOff>
    </xdr:to>
    <xdr:pic macro="[5]!DesignIconClicked">
      <xdr:nvPicPr>
        <xdr:cNvPr id="7762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43200"/>
          <a:ext cx="123825" cy="272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3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9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4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00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5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23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6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7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350621</xdr:rowOff>
    </xdr:to>
    <xdr:pic macro="[5]!DesignIconClicked">
      <xdr:nvPicPr>
        <xdr:cNvPr id="7768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360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69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0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78305</xdr:rowOff>
    </xdr:to>
    <xdr:pic macro="[5]!DesignIconClicked">
      <xdr:nvPicPr>
        <xdr:cNvPr id="7771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499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2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3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4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5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6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7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78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116440</xdr:rowOff>
    </xdr:to>
    <xdr:pic macro="[5]!DesignIconClicked">
      <xdr:nvPicPr>
        <xdr:cNvPr id="7779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0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1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2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3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4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117779</xdr:rowOff>
    </xdr:to>
    <xdr:pic macro="[5]!DesignIconClicked">
      <xdr:nvPicPr>
        <xdr:cNvPr id="7785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620250"/>
          <a:ext cx="123825" cy="108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6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7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8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905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89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0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1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86503</xdr:rowOff>
    </xdr:to>
    <xdr:pic macro="[5]!DesignIconClicked">
      <xdr:nvPicPr>
        <xdr:cNvPr id="7792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3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4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5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70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289225</xdr:rowOff>
    </xdr:to>
    <xdr:pic macro="[5]!DesignIconClicked">
      <xdr:nvPicPr>
        <xdr:cNvPr id="7796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05750"/>
          <a:ext cx="123825" cy="10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7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53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8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799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0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1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48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146473</xdr:rowOff>
    </xdr:to>
    <xdr:pic macro="[5]!DesignIconClicked">
      <xdr:nvPicPr>
        <xdr:cNvPr id="7802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29250"/>
          <a:ext cx="123825" cy="6798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3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0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4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8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5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6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7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8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09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0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1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2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3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4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77128</xdr:rowOff>
    </xdr:to>
    <xdr:pic macro="[5]!DesignIconClicked">
      <xdr:nvPicPr>
        <xdr:cNvPr id="7815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6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7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8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19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0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1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86503</xdr:rowOff>
    </xdr:to>
    <xdr:pic macro="[5]!DesignIconClicked">
      <xdr:nvPicPr>
        <xdr:cNvPr id="7822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3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4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5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26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152856</xdr:rowOff>
    </xdr:to>
    <xdr:pic macro="[5]!DesignIconClicked">
      <xdr:nvPicPr>
        <xdr:cNvPr id="7827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152856</xdr:rowOff>
    </xdr:to>
    <xdr:pic macro="[5]!DesignIconClicked">
      <xdr:nvPicPr>
        <xdr:cNvPr id="7828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7</xdr:row>
      <xdr:rowOff>152856</xdr:rowOff>
    </xdr:to>
    <xdr:pic macro="[5]!DesignIconClicked">
      <xdr:nvPicPr>
        <xdr:cNvPr id="7829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0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1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2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3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4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9</xdr:row>
      <xdr:rowOff>88590</xdr:rowOff>
    </xdr:to>
    <xdr:pic macro="[5]!DesignIconClicked">
      <xdr:nvPicPr>
        <xdr:cNvPr id="7835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60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6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7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38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177238</xdr:rowOff>
    </xdr:to>
    <xdr:pic macro="[5]!DesignIconClicked">
      <xdr:nvPicPr>
        <xdr:cNvPr id="7839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44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0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1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2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3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4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5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6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7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8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49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1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177238</xdr:rowOff>
    </xdr:to>
    <xdr:pic macro="[5]!DesignIconClicked">
      <xdr:nvPicPr>
        <xdr:cNvPr id="7852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44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3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5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8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59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6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6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62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63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864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865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866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83551</xdr:rowOff>
    </xdr:to>
    <xdr:pic macro="[5]!DesignIconClicked">
      <xdr:nvPicPr>
        <xdr:cNvPr id="7867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55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7868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69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1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0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1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2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3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4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6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178171</xdr:rowOff>
    </xdr:to>
    <xdr:pic macro="[5]!DesignIconClicked">
      <xdr:nvPicPr>
        <xdr:cNvPr id="7877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29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8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79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0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1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2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4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5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6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7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88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144352</xdr:rowOff>
    </xdr:to>
    <xdr:pic macro="[5]!DesignIconClicked">
      <xdr:nvPicPr>
        <xdr:cNvPr id="7889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2586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0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1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2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3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4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5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6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7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8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899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0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7901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57150</xdr:rowOff>
    </xdr:to>
    <xdr:pic macro="[5]!DesignIconClicked">
      <xdr:nvPicPr>
        <xdr:cNvPr id="7902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3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4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5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6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7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8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09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0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1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2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113469</xdr:rowOff>
    </xdr:to>
    <xdr:pic macro="[5]!DesignIconClicked">
      <xdr:nvPicPr>
        <xdr:cNvPr id="7913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3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4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5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6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7" name="BExM8SOCWWQ6X2C3OO3YSA1XB7O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525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8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19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0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1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2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85719</xdr:rowOff>
    </xdr:to>
    <xdr:pic macro="[5]!DesignIconClicked">
      <xdr:nvPicPr>
        <xdr:cNvPr id="7923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047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4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5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6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7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687244</xdr:rowOff>
    </xdr:to>
    <xdr:pic macro="[5]!DesignIconClicked">
      <xdr:nvPicPr>
        <xdr:cNvPr id="7928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30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29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0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1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2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85719</xdr:rowOff>
    </xdr:to>
    <xdr:pic macro="[5]!DesignIconClicked">
      <xdr:nvPicPr>
        <xdr:cNvPr id="7933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047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4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5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6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7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8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39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0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1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2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3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116440</xdr:rowOff>
    </xdr:to>
    <xdr:pic macro="[5]!DesignIconClicked">
      <xdr:nvPicPr>
        <xdr:cNvPr id="7944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5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6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7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8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49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687244</xdr:rowOff>
    </xdr:to>
    <xdr:pic macro="[5]!DesignIconClicked">
      <xdr:nvPicPr>
        <xdr:cNvPr id="7950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430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1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2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3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4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5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6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7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8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59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56121</xdr:rowOff>
    </xdr:to>
    <xdr:pic macro="[5]!DesignIconClicked">
      <xdr:nvPicPr>
        <xdr:cNvPr id="7960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9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1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2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3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4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5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5350</xdr:rowOff>
    </xdr:to>
    <xdr:pic macro="[5]!DesignIconClicked">
      <xdr:nvPicPr>
        <xdr:cNvPr id="7966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94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7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68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688421</xdr:rowOff>
    </xdr:to>
    <xdr:pic macro="[5]!DesignIconClicked">
      <xdr:nvPicPr>
        <xdr:cNvPr id="7969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31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0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2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3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4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5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6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116440</xdr:rowOff>
    </xdr:to>
    <xdr:pic macro="[5]!DesignIconClicked">
      <xdr:nvPicPr>
        <xdr:cNvPr id="7977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8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79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0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1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2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169190</xdr:rowOff>
    </xdr:to>
    <xdr:pic macro="[5]!DesignIconClicked">
      <xdr:nvPicPr>
        <xdr:cNvPr id="7983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123825" cy="102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4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5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6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7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8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89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85719</xdr:rowOff>
    </xdr:to>
    <xdr:pic macro="[5]!DesignIconClicked">
      <xdr:nvPicPr>
        <xdr:cNvPr id="7990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047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1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2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3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113469</xdr:rowOff>
    </xdr:to>
    <xdr:pic macro="[5]!DesignIconClicked">
      <xdr:nvPicPr>
        <xdr:cNvPr id="7994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13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5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6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7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8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7999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5</xdr:row>
      <xdr:rowOff>177408</xdr:rowOff>
    </xdr:to>
    <xdr:pic macro="[5]!DesignIconClicked">
      <xdr:nvPicPr>
        <xdr:cNvPr id="8000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2917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1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2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3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4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5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6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7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8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09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0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1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2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687244</xdr:rowOff>
    </xdr:to>
    <xdr:pic macro="[5]!DesignIconClicked">
      <xdr:nvPicPr>
        <xdr:cNvPr id="8013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430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4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5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6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7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8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19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85719</xdr:rowOff>
    </xdr:to>
    <xdr:pic macro="[5]!DesignIconClicked">
      <xdr:nvPicPr>
        <xdr:cNvPr id="8020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0477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1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2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3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4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61902</xdr:rowOff>
    </xdr:to>
    <xdr:pic macro="[5]!DesignIconClicked">
      <xdr:nvPicPr>
        <xdr:cNvPr id="8025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95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61902</xdr:rowOff>
    </xdr:to>
    <xdr:pic macro="[5]!DesignIconClicked">
      <xdr:nvPicPr>
        <xdr:cNvPr id="8026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95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4</xdr:row>
      <xdr:rowOff>61902</xdr:rowOff>
    </xdr:to>
    <xdr:pic macro="[5]!DesignIconClicked">
      <xdr:nvPicPr>
        <xdr:cNvPr id="8027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952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8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29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0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1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2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116381</xdr:rowOff>
    </xdr:to>
    <xdr:pic macro="[5]!DesignIconClicked">
      <xdr:nvPicPr>
        <xdr:cNvPr id="8033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0498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4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5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6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213912</xdr:rowOff>
    </xdr:to>
    <xdr:pic macro="[5]!DesignIconClicked">
      <xdr:nvPicPr>
        <xdr:cNvPr id="8037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642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8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39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0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1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2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3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4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5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6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7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49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8</xdr:row>
      <xdr:rowOff>213912</xdr:rowOff>
    </xdr:to>
    <xdr:pic macro="[5]!DesignIconClicked">
      <xdr:nvPicPr>
        <xdr:cNvPr id="8050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642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1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2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3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5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8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59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6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6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8062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8063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8064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10</xdr:row>
      <xdr:rowOff>693667</xdr:rowOff>
    </xdr:to>
    <xdr:pic macro="[5]!DesignIconClicked">
      <xdr:nvPicPr>
        <xdr:cNvPr id="8065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36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85725</xdr:rowOff>
    </xdr:to>
    <xdr:pic macro="[5]!DesignIconClicked">
      <xdr:nvPicPr>
        <xdr:cNvPr id="8066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67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68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69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0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1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2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3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4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5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6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7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8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79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0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1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2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3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4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5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6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7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8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89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0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1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2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3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4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5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6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7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8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099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0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1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2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3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4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5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6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7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8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09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0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1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2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3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4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5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6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7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8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19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0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1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2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3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4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5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6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7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8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29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0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1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2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3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4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5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6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7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8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39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0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1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2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3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4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5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6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7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8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49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0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1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2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3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4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5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6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7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8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59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0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1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2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3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4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5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6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7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8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69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0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1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2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3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4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5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6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7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8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79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0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1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2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3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4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5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6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7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8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89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0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1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2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3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4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5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6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7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8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199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00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01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123825</xdr:colOff>
      <xdr:row>4</xdr:row>
      <xdr:rowOff>123825</xdr:rowOff>
    </xdr:to>
    <xdr:pic macro="[5]!DesignIconClicked">
      <xdr:nvPicPr>
        <xdr:cNvPr id="8202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9525</xdr:rowOff>
    </xdr:from>
    <xdr:to>
      <xdr:col>0</xdr:col>
      <xdr:colOff>123825</xdr:colOff>
      <xdr:row>5</xdr:row>
      <xdr:rowOff>133350</xdr:rowOff>
    </xdr:to>
    <xdr:pic macro="[5]!DesignIconClicked">
      <xdr:nvPicPr>
        <xdr:cNvPr id="8203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204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205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123825</xdr:colOff>
      <xdr:row>8</xdr:row>
      <xdr:rowOff>123825</xdr:rowOff>
    </xdr:to>
    <xdr:pic macro="[5]!DesignIconClicked">
      <xdr:nvPicPr>
        <xdr:cNvPr id="8206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123825</xdr:colOff>
      <xdr:row>18</xdr:row>
      <xdr:rowOff>123825</xdr:rowOff>
    </xdr:to>
    <xdr:pic macro="[5]!DesignIconClicked">
      <xdr:nvPicPr>
        <xdr:cNvPr id="820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08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09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0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1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2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3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4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5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6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7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8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19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0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1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2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3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4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5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6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7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8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29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0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1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2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3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4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5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6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7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8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39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0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1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2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3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4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5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6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7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8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49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0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1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2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3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4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5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6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7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8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59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0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1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2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3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4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5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6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7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8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69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0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1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2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3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4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5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6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7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8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79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0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1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2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3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4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5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6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7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8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89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0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1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2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3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4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5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6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7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8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299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0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1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2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3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4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5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6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7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8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09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0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1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2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3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4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5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6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7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8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19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0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1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2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3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4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5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6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7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8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29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0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1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2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3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4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5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6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7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8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39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0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1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2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3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4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5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6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7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8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49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0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1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2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3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4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5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6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7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8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59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0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1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2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3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4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5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6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7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8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69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0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1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2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3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4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5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6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7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8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79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0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1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2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3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4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5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6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7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8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89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0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1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2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3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4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5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6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7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8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399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0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1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2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3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4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5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6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7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8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09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0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1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2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3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4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5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6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7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8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19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0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1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2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3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4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5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6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7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8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29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0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1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2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3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4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5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6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7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8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39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40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1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2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3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4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5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6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7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8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49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50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51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452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3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4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5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6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7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8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59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0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1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2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3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4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5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6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7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8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69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470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71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72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73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74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75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476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477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478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479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11</xdr:row>
      <xdr:rowOff>3</xdr:rowOff>
    </xdr:to>
    <xdr:pic macro="[5]!DesignIconClicked">
      <xdr:nvPicPr>
        <xdr:cNvPr id="8480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481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8482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83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8484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8485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21</xdr:row>
      <xdr:rowOff>1</xdr:rowOff>
    </xdr:to>
    <xdr:pic macro="[5]!DesignIconClicked">
      <xdr:nvPicPr>
        <xdr:cNvPr id="8486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87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88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89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0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1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2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3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4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5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6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7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8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499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00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01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02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503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04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505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506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507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11</xdr:row>
      <xdr:rowOff>3</xdr:rowOff>
    </xdr:to>
    <xdr:pic macro="[5]!DesignIconClicked">
      <xdr:nvPicPr>
        <xdr:cNvPr id="8508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509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8510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8511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8512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13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8514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8515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123825</xdr:colOff>
      <xdr:row>23</xdr:row>
      <xdr:rowOff>123825</xdr:rowOff>
    </xdr:to>
    <xdr:pic macro="[5]!DesignIconClicked">
      <xdr:nvPicPr>
        <xdr:cNvPr id="8516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8517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9525</xdr:rowOff>
    </xdr:from>
    <xdr:to>
      <xdr:col>0</xdr:col>
      <xdr:colOff>123825</xdr:colOff>
      <xdr:row>25</xdr:row>
      <xdr:rowOff>133350</xdr:rowOff>
    </xdr:to>
    <xdr:pic macro="[5]!DesignIconClicked">
      <xdr:nvPicPr>
        <xdr:cNvPr id="8518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19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20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21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22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8523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8524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21</xdr:row>
      <xdr:rowOff>1</xdr:rowOff>
    </xdr:to>
    <xdr:pic macro="[5]!DesignIconClicked">
      <xdr:nvPicPr>
        <xdr:cNvPr id="8525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123825</xdr:colOff>
      <xdr:row>26</xdr:row>
      <xdr:rowOff>123825</xdr:rowOff>
    </xdr:to>
    <xdr:pic macro="[5]!DesignIconClicked">
      <xdr:nvPicPr>
        <xdr:cNvPr id="8526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9525</xdr:rowOff>
    </xdr:from>
    <xdr:to>
      <xdr:col>0</xdr:col>
      <xdr:colOff>123825</xdr:colOff>
      <xdr:row>25</xdr:row>
      <xdr:rowOff>133350</xdr:rowOff>
    </xdr:to>
    <xdr:pic macro="[5]!DesignIconClicked">
      <xdr:nvPicPr>
        <xdr:cNvPr id="8527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8528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123825</xdr:colOff>
      <xdr:row>23</xdr:row>
      <xdr:rowOff>123825</xdr:rowOff>
    </xdr:to>
    <xdr:pic macro="[5]!DesignIconClicked">
      <xdr:nvPicPr>
        <xdr:cNvPr id="8529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8530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8531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8532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8533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8534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535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11</xdr:row>
      <xdr:rowOff>3</xdr:rowOff>
    </xdr:to>
    <xdr:pic macro="[5]!DesignIconClicked">
      <xdr:nvPicPr>
        <xdr:cNvPr id="8536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537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538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539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540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1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2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3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4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5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6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7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8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49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0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1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2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3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4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5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56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123825</xdr:colOff>
      <xdr:row>26</xdr:row>
      <xdr:rowOff>123825</xdr:rowOff>
    </xdr:to>
    <xdr:pic macro="[5]!DesignIconClicked">
      <xdr:nvPicPr>
        <xdr:cNvPr id="8557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21</xdr:row>
      <xdr:rowOff>1</xdr:rowOff>
    </xdr:to>
    <xdr:pic macro="[5]!DesignIconClicked">
      <xdr:nvPicPr>
        <xdr:cNvPr id="8558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943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8559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8560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1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2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3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4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5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6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7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8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69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0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1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2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3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8574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8575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6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7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78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8579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580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11</xdr:row>
      <xdr:rowOff>3</xdr:rowOff>
    </xdr:to>
    <xdr:pic macro="[5]!DesignIconClicked">
      <xdr:nvPicPr>
        <xdr:cNvPr id="8581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476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582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583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584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85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586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87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88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89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0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1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2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3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4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5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6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7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8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599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00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01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02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123825</xdr:colOff>
      <xdr:row>25</xdr:row>
      <xdr:rowOff>123825</xdr:rowOff>
    </xdr:to>
    <xdr:pic macro="[5]!DesignIconClicked">
      <xdr:nvPicPr>
        <xdr:cNvPr id="8603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8604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152400</xdr:rowOff>
    </xdr:from>
    <xdr:to>
      <xdr:col>0</xdr:col>
      <xdr:colOff>123825</xdr:colOff>
      <xdr:row>26</xdr:row>
      <xdr:rowOff>313522</xdr:rowOff>
    </xdr:to>
    <xdr:pic macro="[5]!DesignIconClicked">
      <xdr:nvPicPr>
        <xdr:cNvPr id="8605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475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8606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8607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9525</xdr:rowOff>
    </xdr:from>
    <xdr:to>
      <xdr:col>0</xdr:col>
      <xdr:colOff>123825</xdr:colOff>
      <xdr:row>14</xdr:row>
      <xdr:rowOff>133350</xdr:rowOff>
    </xdr:to>
    <xdr:pic macro="[5]!DesignIconClicked">
      <xdr:nvPicPr>
        <xdr:cNvPr id="8608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09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152400</xdr:rowOff>
    </xdr:from>
    <xdr:to>
      <xdr:col>0</xdr:col>
      <xdr:colOff>123825</xdr:colOff>
      <xdr:row>11</xdr:row>
      <xdr:rowOff>85724</xdr:rowOff>
    </xdr:to>
    <xdr:pic macro="[5]!DesignIconClicked">
      <xdr:nvPicPr>
        <xdr:cNvPr id="8610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8611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123825</xdr:colOff>
      <xdr:row>12</xdr:row>
      <xdr:rowOff>123825</xdr:rowOff>
    </xdr:to>
    <xdr:pic macro="[5]!DesignIconClicked">
      <xdr:nvPicPr>
        <xdr:cNvPr id="8612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613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123825</xdr:colOff>
      <xdr:row>8</xdr:row>
      <xdr:rowOff>123825</xdr:rowOff>
    </xdr:to>
    <xdr:pic macro="[5]!DesignIconClicked">
      <xdr:nvPicPr>
        <xdr:cNvPr id="8614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615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9525</xdr:rowOff>
    </xdr:from>
    <xdr:to>
      <xdr:col>0</xdr:col>
      <xdr:colOff>123825</xdr:colOff>
      <xdr:row>6</xdr:row>
      <xdr:rowOff>133350</xdr:rowOff>
    </xdr:to>
    <xdr:pic macro="[5]!DesignIconClicked">
      <xdr:nvPicPr>
        <xdr:cNvPr id="8616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617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123825</xdr:colOff>
      <xdr:row>4</xdr:row>
      <xdr:rowOff>123825</xdr:rowOff>
    </xdr:to>
    <xdr:pic macro="[5]!DesignIconClicked">
      <xdr:nvPicPr>
        <xdr:cNvPr id="8618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123825</xdr:colOff>
      <xdr:row>26</xdr:row>
      <xdr:rowOff>123825</xdr:rowOff>
    </xdr:to>
    <xdr:pic macro="[5]!DesignIconClicked">
      <xdr:nvPicPr>
        <xdr:cNvPr id="8619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5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123825</xdr:colOff>
      <xdr:row>18</xdr:row>
      <xdr:rowOff>123825</xdr:rowOff>
    </xdr:to>
    <xdr:pic macro="[5]!DesignIconClicked">
      <xdr:nvPicPr>
        <xdr:cNvPr id="862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1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2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3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4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5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8626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152400</xdr:rowOff>
    </xdr:from>
    <xdr:to>
      <xdr:col>0</xdr:col>
      <xdr:colOff>123825</xdr:colOff>
      <xdr:row>11</xdr:row>
      <xdr:rowOff>85724</xdr:rowOff>
    </xdr:to>
    <xdr:pic macro="[5]!DesignIconClicked">
      <xdr:nvPicPr>
        <xdr:cNvPr id="8627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1066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8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29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30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31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32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33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123825</xdr:colOff>
      <xdr:row>3</xdr:row>
      <xdr:rowOff>123825</xdr:rowOff>
    </xdr:to>
    <xdr:pic macro="[5]!DesignIconClicked">
      <xdr:nvPicPr>
        <xdr:cNvPr id="8634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05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35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36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37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38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39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0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1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2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3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4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5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6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7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8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49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0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1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2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3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4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5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6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7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8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59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0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1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2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3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4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5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6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7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8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69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0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1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2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3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4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5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6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7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8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79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0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1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2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3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4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5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6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7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8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89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0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1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2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3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4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5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6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7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8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699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0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1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2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3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4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5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6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7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8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09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0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1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2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3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4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5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6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7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8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19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0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1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2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3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4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5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6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7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8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29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0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1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2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3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4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5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6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7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8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39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0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1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2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3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4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5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6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7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8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49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0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1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2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3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4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5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6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7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8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59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0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1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2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3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4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5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6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7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8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69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0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1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2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3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4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5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6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7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8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79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0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1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2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3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4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5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6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7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8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89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0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1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2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3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4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5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6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7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8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799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0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1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2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3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4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5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6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7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8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09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0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1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2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3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4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5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6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7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8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19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0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1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2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3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4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5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6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7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8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29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0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1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2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3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4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5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6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7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8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39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0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1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2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3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4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5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6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7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8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49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0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1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2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3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4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5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6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7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8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59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0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1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2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3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4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5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6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7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8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69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0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1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2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3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4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5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6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7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8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79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0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1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2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3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4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5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6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7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8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89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0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1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2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3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4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5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6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7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8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899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0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1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2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3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4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5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6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7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8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09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0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1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2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3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4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5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6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7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8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19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0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1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2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3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4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5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6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7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8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29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0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1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2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3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4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5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6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7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8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39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0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1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2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3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4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5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6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7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8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49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0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1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2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3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4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5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6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7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8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59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0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1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2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3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4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5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6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7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8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69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70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71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72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73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 macro="[5]!DesignIconClicked">
      <xdr:nvPicPr>
        <xdr:cNvPr id="8974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1905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123825</xdr:colOff>
      <xdr:row>19</xdr:row>
      <xdr:rowOff>123825</xdr:rowOff>
    </xdr:to>
    <xdr:pic macro="[5]!DesignIconClicked">
      <xdr:nvPicPr>
        <xdr:cNvPr id="897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123825</xdr:colOff>
      <xdr:row>19</xdr:row>
      <xdr:rowOff>123825</xdr:rowOff>
    </xdr:to>
    <xdr:pic macro="[5]!DesignIconClicked">
      <xdr:nvPicPr>
        <xdr:cNvPr id="897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123825</xdr:colOff>
      <xdr:row>20</xdr:row>
      <xdr:rowOff>123825</xdr:rowOff>
    </xdr:to>
    <xdr:pic macro="[5]!DesignIconClicked">
      <xdr:nvPicPr>
        <xdr:cNvPr id="897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123825</xdr:colOff>
      <xdr:row>20</xdr:row>
      <xdr:rowOff>123825</xdr:rowOff>
    </xdr:to>
    <xdr:pic macro="[5]!DesignIconClicked">
      <xdr:nvPicPr>
        <xdr:cNvPr id="897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123825</xdr:colOff>
      <xdr:row>21</xdr:row>
      <xdr:rowOff>123825</xdr:rowOff>
    </xdr:to>
    <xdr:pic macro="[5]!DesignIconClicked">
      <xdr:nvPicPr>
        <xdr:cNvPr id="8979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123825</xdr:colOff>
      <xdr:row>21</xdr:row>
      <xdr:rowOff>123825</xdr:rowOff>
    </xdr:to>
    <xdr:pic macro="[5]!DesignIconClicked">
      <xdr:nvPicPr>
        <xdr:cNvPr id="898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123825</xdr:colOff>
      <xdr:row>4</xdr:row>
      <xdr:rowOff>123825</xdr:rowOff>
    </xdr:to>
    <xdr:pic macro="[5]!DesignIconClicked">
      <xdr:nvPicPr>
        <xdr:cNvPr id="8981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9525</xdr:rowOff>
    </xdr:from>
    <xdr:to>
      <xdr:col>0</xdr:col>
      <xdr:colOff>123825</xdr:colOff>
      <xdr:row>5</xdr:row>
      <xdr:rowOff>133350</xdr:rowOff>
    </xdr:to>
    <xdr:pic macro="[5]!DesignIconClicked">
      <xdr:nvPicPr>
        <xdr:cNvPr id="8982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52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983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984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123825</xdr:colOff>
      <xdr:row>8</xdr:row>
      <xdr:rowOff>123825</xdr:rowOff>
    </xdr:to>
    <xdr:pic macro="[5]!DesignIconClicked">
      <xdr:nvPicPr>
        <xdr:cNvPr id="8985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123825</xdr:colOff>
      <xdr:row>18</xdr:row>
      <xdr:rowOff>123825</xdr:rowOff>
    </xdr:to>
    <xdr:pic macro="[5]!DesignIconClicked">
      <xdr:nvPicPr>
        <xdr:cNvPr id="898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987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988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989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8990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8991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8</xdr:row>
      <xdr:rowOff>171450</xdr:rowOff>
    </xdr:to>
    <xdr:pic macro="[5]!DesignIconClicked">
      <xdr:nvPicPr>
        <xdr:cNvPr id="8992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8993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8994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8995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8996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18</xdr:row>
      <xdr:rowOff>190500</xdr:rowOff>
    </xdr:to>
    <xdr:pic macro="[5]!DesignIconClicked">
      <xdr:nvPicPr>
        <xdr:cNvPr id="8997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8998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8999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9000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9001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8</xdr:row>
      <xdr:rowOff>171450</xdr:rowOff>
    </xdr:to>
    <xdr:pic macro="[5]!DesignIconClicked">
      <xdr:nvPicPr>
        <xdr:cNvPr id="9002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9003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9004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9005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9006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9007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9008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123825</xdr:colOff>
      <xdr:row>23</xdr:row>
      <xdr:rowOff>123825</xdr:rowOff>
    </xdr:to>
    <xdr:pic macro="[5]!DesignIconClicked">
      <xdr:nvPicPr>
        <xdr:cNvPr id="9009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9010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9525</xdr:rowOff>
    </xdr:from>
    <xdr:to>
      <xdr:col>0</xdr:col>
      <xdr:colOff>123825</xdr:colOff>
      <xdr:row>25</xdr:row>
      <xdr:rowOff>133350</xdr:rowOff>
    </xdr:to>
    <xdr:pic macro="[5]!DesignIconClicked">
      <xdr:nvPicPr>
        <xdr:cNvPr id="9011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9012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9013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18</xdr:row>
      <xdr:rowOff>190500</xdr:rowOff>
    </xdr:to>
    <xdr:pic macro="[5]!DesignIconClicked">
      <xdr:nvPicPr>
        <xdr:cNvPr id="9014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9525</xdr:rowOff>
    </xdr:from>
    <xdr:to>
      <xdr:col>0</xdr:col>
      <xdr:colOff>123825</xdr:colOff>
      <xdr:row>25</xdr:row>
      <xdr:rowOff>133350</xdr:rowOff>
    </xdr:to>
    <xdr:pic macro="[5]!DesignIconClicked">
      <xdr:nvPicPr>
        <xdr:cNvPr id="9015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9016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123825</xdr:colOff>
      <xdr:row>23</xdr:row>
      <xdr:rowOff>123825</xdr:rowOff>
    </xdr:to>
    <xdr:pic macro="[5]!DesignIconClicked">
      <xdr:nvPicPr>
        <xdr:cNvPr id="9017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43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9018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9019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123825</xdr:colOff>
      <xdr:row>14</xdr:row>
      <xdr:rowOff>123825</xdr:rowOff>
    </xdr:to>
    <xdr:pic macro="[5]!DesignIconClicked">
      <xdr:nvPicPr>
        <xdr:cNvPr id="9020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62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9021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9022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9023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8</xdr:row>
      <xdr:rowOff>171450</xdr:rowOff>
    </xdr:to>
    <xdr:pic macro="[5]!DesignIconClicked">
      <xdr:nvPicPr>
        <xdr:cNvPr id="9024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9025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9026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9027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9028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123825</xdr:colOff>
      <xdr:row>18</xdr:row>
      <xdr:rowOff>190500</xdr:rowOff>
    </xdr:to>
    <xdr:pic macro="[5]!DesignIconClicked">
      <xdr:nvPicPr>
        <xdr:cNvPr id="9029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9030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9031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9525</xdr:rowOff>
    </xdr:from>
    <xdr:to>
      <xdr:col>0</xdr:col>
      <xdr:colOff>123825</xdr:colOff>
      <xdr:row>12</xdr:row>
      <xdr:rowOff>133350</xdr:rowOff>
    </xdr:to>
    <xdr:pic macro="[5]!DesignIconClicked">
      <xdr:nvPicPr>
        <xdr:cNvPr id="9032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09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9033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123825</xdr:colOff>
      <xdr:row>10</xdr:row>
      <xdr:rowOff>123825</xdr:rowOff>
    </xdr:to>
    <xdr:pic macro="[5]!DesignIconClicked">
      <xdr:nvPicPr>
        <xdr:cNvPr id="9034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9035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152400</xdr:rowOff>
    </xdr:from>
    <xdr:to>
      <xdr:col>0</xdr:col>
      <xdr:colOff>123825</xdr:colOff>
      <xdr:row>8</xdr:row>
      <xdr:rowOff>171450</xdr:rowOff>
    </xdr:to>
    <xdr:pic macro="[5]!DesignIconClicked">
      <xdr:nvPicPr>
        <xdr:cNvPr id="9036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7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9037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123825</xdr:colOff>
      <xdr:row>6</xdr:row>
      <xdr:rowOff>123825</xdr:rowOff>
    </xdr:to>
    <xdr:pic macro="[5]!DesignIconClicked">
      <xdr:nvPicPr>
        <xdr:cNvPr id="9038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9039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9525</xdr:rowOff>
    </xdr:from>
    <xdr:to>
      <xdr:col>0</xdr:col>
      <xdr:colOff>123825</xdr:colOff>
      <xdr:row>4</xdr:row>
      <xdr:rowOff>133350</xdr:rowOff>
    </xdr:to>
    <xdr:pic macro="[5]!DesignIconClicked">
      <xdr:nvPicPr>
        <xdr:cNvPr id="9040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61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123825</xdr:colOff>
      <xdr:row>25</xdr:row>
      <xdr:rowOff>123825</xdr:rowOff>
    </xdr:to>
    <xdr:pic macro="[5]!DesignIconClicked">
      <xdr:nvPicPr>
        <xdr:cNvPr id="9041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315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123825</xdr:colOff>
      <xdr:row>24</xdr:row>
      <xdr:rowOff>123825</xdr:rowOff>
    </xdr:to>
    <xdr:pic macro="[5]!DesignIconClicked">
      <xdr:nvPicPr>
        <xdr:cNvPr id="9042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34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152400</xdr:rowOff>
    </xdr:from>
    <xdr:to>
      <xdr:col>0</xdr:col>
      <xdr:colOff>123825</xdr:colOff>
      <xdr:row>22</xdr:row>
      <xdr:rowOff>361950</xdr:rowOff>
    </xdr:to>
    <xdr:pic macro="[5]!DesignIconClicked">
      <xdr:nvPicPr>
        <xdr:cNvPr id="9043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34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123825</xdr:colOff>
      <xdr:row>22</xdr:row>
      <xdr:rowOff>123825</xdr:rowOff>
    </xdr:to>
    <xdr:pic macro="[5]!DesignIconClicked">
      <xdr:nvPicPr>
        <xdr:cNvPr id="9044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81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123825</xdr:colOff>
      <xdr:row>17</xdr:row>
      <xdr:rowOff>123825</xdr:rowOff>
    </xdr:to>
    <xdr:pic macro="[5]!DesignIconClicked">
      <xdr:nvPicPr>
        <xdr:cNvPr id="9045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905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</xdr:row>
      <xdr:rowOff>9525</xdr:rowOff>
    </xdr:from>
    <xdr:to>
      <xdr:col>0</xdr:col>
      <xdr:colOff>123825</xdr:colOff>
      <xdr:row>14</xdr:row>
      <xdr:rowOff>133350</xdr:rowOff>
    </xdr:to>
    <xdr:pic macro="[5]!DesignIconClicked">
      <xdr:nvPicPr>
        <xdr:cNvPr id="9046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71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152400</xdr:rowOff>
    </xdr:from>
    <xdr:to>
      <xdr:col>0</xdr:col>
      <xdr:colOff>123825</xdr:colOff>
      <xdr:row>10</xdr:row>
      <xdr:rowOff>76200</xdr:rowOff>
    </xdr:to>
    <xdr:pic macro="[5]!DesignIconClicked">
      <xdr:nvPicPr>
        <xdr:cNvPr id="9047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123825</xdr:colOff>
      <xdr:row>13</xdr:row>
      <xdr:rowOff>123825</xdr:rowOff>
    </xdr:to>
    <xdr:pic macro="[5]!DesignIconClicked">
      <xdr:nvPicPr>
        <xdr:cNvPr id="9048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1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123825</xdr:colOff>
      <xdr:row>12</xdr:row>
      <xdr:rowOff>123825</xdr:rowOff>
    </xdr:to>
    <xdr:pic macro="[5]!DesignIconClicked">
      <xdr:nvPicPr>
        <xdr:cNvPr id="9049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0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123825</xdr:colOff>
      <xdr:row>9</xdr:row>
      <xdr:rowOff>123825</xdr:rowOff>
    </xdr:to>
    <xdr:pic macro="[5]!DesignIconClicked">
      <xdr:nvPicPr>
        <xdr:cNvPr id="9050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76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123825</xdr:colOff>
      <xdr:row>8</xdr:row>
      <xdr:rowOff>123825</xdr:rowOff>
    </xdr:to>
    <xdr:pic macro="[5]!DesignIconClicked">
      <xdr:nvPicPr>
        <xdr:cNvPr id="9051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85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123825</xdr:colOff>
      <xdr:row>7</xdr:row>
      <xdr:rowOff>123825</xdr:rowOff>
    </xdr:to>
    <xdr:pic macro="[5]!DesignIconClicked">
      <xdr:nvPicPr>
        <xdr:cNvPr id="9052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3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</xdr:row>
      <xdr:rowOff>9525</xdr:rowOff>
    </xdr:from>
    <xdr:to>
      <xdr:col>0</xdr:col>
      <xdr:colOff>123825</xdr:colOff>
      <xdr:row>6</xdr:row>
      <xdr:rowOff>133350</xdr:rowOff>
    </xdr:to>
    <xdr:pic macro="[5]!DesignIconClicked">
      <xdr:nvPicPr>
        <xdr:cNvPr id="9053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2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123825</xdr:colOff>
      <xdr:row>5</xdr:row>
      <xdr:rowOff>123825</xdr:rowOff>
    </xdr:to>
    <xdr:pic macro="[5]!DesignIconClicked">
      <xdr:nvPicPr>
        <xdr:cNvPr id="9054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123825</xdr:colOff>
      <xdr:row>4</xdr:row>
      <xdr:rowOff>123825</xdr:rowOff>
    </xdr:to>
    <xdr:pic macro="[5]!DesignIconClicked">
      <xdr:nvPicPr>
        <xdr:cNvPr id="9055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123825</xdr:colOff>
      <xdr:row>18</xdr:row>
      <xdr:rowOff>123825</xdr:rowOff>
    </xdr:to>
    <xdr:pic macro="[5]!DesignIconClicked">
      <xdr:nvPicPr>
        <xdr:cNvPr id="905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123825</xdr:colOff>
      <xdr:row>11</xdr:row>
      <xdr:rowOff>123825</xdr:rowOff>
    </xdr:to>
    <xdr:pic macro="[5]!DesignIconClicked">
      <xdr:nvPicPr>
        <xdr:cNvPr id="9057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0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152400</xdr:rowOff>
    </xdr:from>
    <xdr:to>
      <xdr:col>0</xdr:col>
      <xdr:colOff>123825</xdr:colOff>
      <xdr:row>10</xdr:row>
      <xdr:rowOff>76200</xdr:rowOff>
    </xdr:to>
    <xdr:pic macro="[5]!DesignIconClicked">
      <xdr:nvPicPr>
        <xdr:cNvPr id="9058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828800"/>
          <a:ext cx="1238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123825</xdr:colOff>
      <xdr:row>19</xdr:row>
      <xdr:rowOff>123825</xdr:rowOff>
    </xdr:to>
    <xdr:pic macro="[5]!DesignIconClicked">
      <xdr:nvPicPr>
        <xdr:cNvPr id="9059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123825</xdr:colOff>
      <xdr:row>19</xdr:row>
      <xdr:rowOff>123825</xdr:rowOff>
    </xdr:to>
    <xdr:pic macro="[5]!DesignIconClicked">
      <xdr:nvPicPr>
        <xdr:cNvPr id="906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238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123825</xdr:colOff>
      <xdr:row>20</xdr:row>
      <xdr:rowOff>123825</xdr:rowOff>
    </xdr:to>
    <xdr:pic macro="[5]!DesignIconClicked">
      <xdr:nvPicPr>
        <xdr:cNvPr id="9061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123825</xdr:colOff>
      <xdr:row>20</xdr:row>
      <xdr:rowOff>123825</xdr:rowOff>
    </xdr:to>
    <xdr:pic macro="[5]!DesignIconClicked">
      <xdr:nvPicPr>
        <xdr:cNvPr id="9062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19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123825</xdr:colOff>
      <xdr:row>21</xdr:row>
      <xdr:rowOff>123825</xdr:rowOff>
    </xdr:to>
    <xdr:pic macro="[5]!DesignIconClicked">
      <xdr:nvPicPr>
        <xdr:cNvPr id="9063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123825</xdr:colOff>
      <xdr:row>21</xdr:row>
      <xdr:rowOff>123825</xdr:rowOff>
    </xdr:to>
    <xdr:pic macro="[5]!DesignIconClicked">
      <xdr:nvPicPr>
        <xdr:cNvPr id="9064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65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66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67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68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69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70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123825</xdr:colOff>
      <xdr:row>31</xdr:row>
      <xdr:rowOff>123825</xdr:rowOff>
    </xdr:to>
    <xdr:pic macro="[5]!DesignIconClicked">
      <xdr:nvPicPr>
        <xdr:cNvPr id="9071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247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152400</xdr:rowOff>
    </xdr:from>
    <xdr:to>
      <xdr:col>0</xdr:col>
      <xdr:colOff>123825</xdr:colOff>
      <xdr:row>35</xdr:row>
      <xdr:rowOff>447675</xdr:rowOff>
    </xdr:to>
    <xdr:pic macro="[5]!DesignIconClicked">
      <xdr:nvPicPr>
        <xdr:cNvPr id="9072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00300"/>
          <a:ext cx="1238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123825</xdr:colOff>
      <xdr:row>33</xdr:row>
      <xdr:rowOff>123825</xdr:rowOff>
    </xdr:to>
    <xdr:pic macro="[5]!DesignIconClicked">
      <xdr:nvPicPr>
        <xdr:cNvPr id="9073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28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123825</xdr:colOff>
      <xdr:row>34</xdr:row>
      <xdr:rowOff>123825</xdr:rowOff>
    </xdr:to>
    <xdr:pic macro="[5]!DesignIconClicked">
      <xdr:nvPicPr>
        <xdr:cNvPr id="9074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71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123825</xdr:colOff>
      <xdr:row>35</xdr:row>
      <xdr:rowOff>123825</xdr:rowOff>
    </xdr:to>
    <xdr:pic macro="[5]!DesignIconClicked">
      <xdr:nvPicPr>
        <xdr:cNvPr id="9075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14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123825</xdr:colOff>
      <xdr:row>38</xdr:row>
      <xdr:rowOff>123825</xdr:rowOff>
    </xdr:to>
    <xdr:pic macro="[5]!DesignIconClicked">
      <xdr:nvPicPr>
        <xdr:cNvPr id="9076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638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123825</xdr:colOff>
      <xdr:row>39</xdr:row>
      <xdr:rowOff>123825</xdr:rowOff>
    </xdr:to>
    <xdr:pic macro="[5]!DesignIconClicked">
      <xdr:nvPicPr>
        <xdr:cNvPr id="9077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19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123825</xdr:colOff>
      <xdr:row>41</xdr:row>
      <xdr:rowOff>123825</xdr:rowOff>
    </xdr:to>
    <xdr:pic macro="[5]!DesignIconClicked">
      <xdr:nvPicPr>
        <xdr:cNvPr id="9078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400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123825</xdr:colOff>
      <xdr:row>46</xdr:row>
      <xdr:rowOff>123825</xdr:rowOff>
    </xdr:to>
    <xdr:pic macro="[5]!DesignIconClicked">
      <xdr:nvPicPr>
        <xdr:cNvPr id="9079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6877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47</xdr:row>
      <xdr:rowOff>9525</xdr:rowOff>
    </xdr:from>
    <xdr:to>
      <xdr:col>0</xdr:col>
      <xdr:colOff>123825</xdr:colOff>
      <xdr:row>47</xdr:row>
      <xdr:rowOff>133350</xdr:rowOff>
    </xdr:to>
    <xdr:pic macro="[5]!DesignIconClicked">
      <xdr:nvPicPr>
        <xdr:cNvPr id="9080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077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1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2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3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4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5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32</xdr:row>
      <xdr:rowOff>82408</xdr:rowOff>
    </xdr:to>
    <xdr:pic macro="[5]!DesignIconClicked">
      <xdr:nvPicPr>
        <xdr:cNvPr id="9086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82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7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8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89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0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36</xdr:row>
      <xdr:rowOff>193818</xdr:rowOff>
    </xdr:to>
    <xdr:pic macro="[5]!DesignIconClicked">
      <xdr:nvPicPr>
        <xdr:cNvPr id="9091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936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2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3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4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5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32</xdr:row>
      <xdr:rowOff>82408</xdr:rowOff>
    </xdr:to>
    <xdr:pic macro="[5]!DesignIconClicked">
      <xdr:nvPicPr>
        <xdr:cNvPr id="9096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82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7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8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099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0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1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2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3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4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5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123825</xdr:colOff>
      <xdr:row>30</xdr:row>
      <xdr:rowOff>123825</xdr:rowOff>
    </xdr:to>
    <xdr:pic macro="[5]!DesignIconClicked">
      <xdr:nvPicPr>
        <xdr:cNvPr id="9106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152400</xdr:rowOff>
    </xdr:from>
    <xdr:to>
      <xdr:col>0</xdr:col>
      <xdr:colOff>123825</xdr:colOff>
      <xdr:row>30</xdr:row>
      <xdr:rowOff>295275</xdr:rowOff>
    </xdr:to>
    <xdr:pic macro="[5]!DesignIconClicked">
      <xdr:nvPicPr>
        <xdr:cNvPr id="9107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098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123825</xdr:colOff>
      <xdr:row>32</xdr:row>
      <xdr:rowOff>123825</xdr:rowOff>
    </xdr:to>
    <xdr:pic macro="[5]!DesignIconClicked">
      <xdr:nvPicPr>
        <xdr:cNvPr id="9108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38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09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123825</xdr:colOff>
      <xdr:row>33</xdr:row>
      <xdr:rowOff>123825</xdr:rowOff>
    </xdr:to>
    <xdr:pic macro="[5]!DesignIconClicked">
      <xdr:nvPicPr>
        <xdr:cNvPr id="9110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8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123825</xdr:colOff>
      <xdr:row>34</xdr:row>
      <xdr:rowOff>123825</xdr:rowOff>
    </xdr:to>
    <xdr:pic macro="[5]!DesignIconClicked">
      <xdr:nvPicPr>
        <xdr:cNvPr id="9111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171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12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36</xdr:row>
      <xdr:rowOff>193818</xdr:rowOff>
    </xdr:to>
    <xdr:pic macro="[5]!DesignIconClicked">
      <xdr:nvPicPr>
        <xdr:cNvPr id="9113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936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14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123825</xdr:colOff>
      <xdr:row>29</xdr:row>
      <xdr:rowOff>123825</xdr:rowOff>
    </xdr:to>
    <xdr:pic macro="[5]!DesignIconClicked">
      <xdr:nvPicPr>
        <xdr:cNvPr id="9115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5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123825</xdr:colOff>
      <xdr:row>45</xdr:row>
      <xdr:rowOff>123825</xdr:rowOff>
    </xdr:to>
    <xdr:pic macro="[5]!DesignIconClicked">
      <xdr:nvPicPr>
        <xdr:cNvPr id="9116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686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123825</xdr:colOff>
      <xdr:row>41</xdr:row>
      <xdr:rowOff>123825</xdr:rowOff>
    </xdr:to>
    <xdr:pic macro="[5]!DesignIconClicked">
      <xdr:nvPicPr>
        <xdr:cNvPr id="9117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400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40</xdr:row>
      <xdr:rowOff>9525</xdr:rowOff>
    </xdr:from>
    <xdr:to>
      <xdr:col>0</xdr:col>
      <xdr:colOff>123825</xdr:colOff>
      <xdr:row>40</xdr:row>
      <xdr:rowOff>133350</xdr:rowOff>
    </xdr:to>
    <xdr:pic macro="[5]!DesignIconClicked">
      <xdr:nvPicPr>
        <xdr:cNvPr id="9118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219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123825</xdr:colOff>
      <xdr:row>39</xdr:row>
      <xdr:rowOff>123825</xdr:rowOff>
    </xdr:to>
    <xdr:pic macro="[5]!DesignIconClicked">
      <xdr:nvPicPr>
        <xdr:cNvPr id="9119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19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123825</xdr:colOff>
      <xdr:row>38</xdr:row>
      <xdr:rowOff>123825</xdr:rowOff>
    </xdr:to>
    <xdr:pic macro="[5]!DesignIconClicked">
      <xdr:nvPicPr>
        <xdr:cNvPr id="9120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638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123825</xdr:colOff>
      <xdr:row>33</xdr:row>
      <xdr:rowOff>123825</xdr:rowOff>
    </xdr:to>
    <xdr:pic macro="[5]!DesignIconClicked">
      <xdr:nvPicPr>
        <xdr:cNvPr id="9121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8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123825</xdr:colOff>
      <xdr:row>32</xdr:row>
      <xdr:rowOff>123825</xdr:rowOff>
    </xdr:to>
    <xdr:pic macro="[5]!DesignIconClicked">
      <xdr:nvPicPr>
        <xdr:cNvPr id="9122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38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152400</xdr:rowOff>
    </xdr:from>
    <xdr:to>
      <xdr:col>0</xdr:col>
      <xdr:colOff>123825</xdr:colOff>
      <xdr:row>30</xdr:row>
      <xdr:rowOff>295275</xdr:rowOff>
    </xdr:to>
    <xdr:pic macro="[5]!DesignIconClicked">
      <xdr:nvPicPr>
        <xdr:cNvPr id="9123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09800"/>
          <a:ext cx="12382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123825</xdr:colOff>
      <xdr:row>30</xdr:row>
      <xdr:rowOff>123825</xdr:rowOff>
    </xdr:to>
    <xdr:pic macro="[5]!DesignIconClicked">
      <xdr:nvPicPr>
        <xdr:cNvPr id="9124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25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26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27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28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29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0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1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2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3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32</xdr:row>
      <xdr:rowOff>82408</xdr:rowOff>
    </xdr:to>
    <xdr:pic macro="[5]!DesignIconClicked">
      <xdr:nvPicPr>
        <xdr:cNvPr id="9134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82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5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6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7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38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123825</xdr:colOff>
      <xdr:row>46</xdr:row>
      <xdr:rowOff>123825</xdr:rowOff>
    </xdr:to>
    <xdr:pic macro="[5]!DesignIconClicked">
      <xdr:nvPicPr>
        <xdr:cNvPr id="9139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877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123825</xdr:colOff>
      <xdr:row>37</xdr:row>
      <xdr:rowOff>123825</xdr:rowOff>
    </xdr:to>
    <xdr:pic macro="[5]!DesignIconClicked">
      <xdr:nvPicPr>
        <xdr:cNvPr id="9140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48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123825</xdr:colOff>
      <xdr:row>36</xdr:row>
      <xdr:rowOff>123825</xdr:rowOff>
    </xdr:to>
    <xdr:pic macro="[5]!DesignIconClicked">
      <xdr:nvPicPr>
        <xdr:cNvPr id="9141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57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35</xdr:row>
      <xdr:rowOff>9525</xdr:rowOff>
    </xdr:from>
    <xdr:to>
      <xdr:col>0</xdr:col>
      <xdr:colOff>123825</xdr:colOff>
      <xdr:row>35</xdr:row>
      <xdr:rowOff>133350</xdr:rowOff>
    </xdr:to>
    <xdr:pic macro="[5]!DesignIconClicked">
      <xdr:nvPicPr>
        <xdr:cNvPr id="9142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724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123825</xdr:colOff>
      <xdr:row>34</xdr:row>
      <xdr:rowOff>123825</xdr:rowOff>
    </xdr:to>
    <xdr:pic macro="[5]!DesignIconClicked">
      <xdr:nvPicPr>
        <xdr:cNvPr id="9143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171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123825</xdr:colOff>
      <xdr:row>29</xdr:row>
      <xdr:rowOff>123825</xdr:rowOff>
    </xdr:to>
    <xdr:pic macro="[5]!DesignIconClicked">
      <xdr:nvPicPr>
        <xdr:cNvPr id="9144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5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45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36</xdr:row>
      <xdr:rowOff>193818</xdr:rowOff>
    </xdr:to>
    <xdr:pic macro="[5]!DesignIconClicked">
      <xdr:nvPicPr>
        <xdr:cNvPr id="9146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9368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47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48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49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0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1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2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32</xdr:row>
      <xdr:rowOff>82408</xdr:rowOff>
    </xdr:to>
    <xdr:pic macro="[5]!DesignIconClicked">
      <xdr:nvPicPr>
        <xdr:cNvPr id="9153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82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4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5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6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57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152400</xdr:rowOff>
    </xdr:from>
    <xdr:to>
      <xdr:col>0</xdr:col>
      <xdr:colOff>123825</xdr:colOff>
      <xdr:row>35</xdr:row>
      <xdr:rowOff>422275</xdr:rowOff>
    </xdr:to>
    <xdr:pic macro="[5]!DesignIconClicked">
      <xdr:nvPicPr>
        <xdr:cNvPr id="9158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590800"/>
          <a:ext cx="123825" cy="5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152400</xdr:rowOff>
    </xdr:from>
    <xdr:to>
      <xdr:col>0</xdr:col>
      <xdr:colOff>123825</xdr:colOff>
      <xdr:row>35</xdr:row>
      <xdr:rowOff>422275</xdr:rowOff>
    </xdr:to>
    <xdr:pic macro="[5]!DesignIconClicked">
      <xdr:nvPicPr>
        <xdr:cNvPr id="9159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590800"/>
          <a:ext cx="123825" cy="5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152400</xdr:rowOff>
    </xdr:from>
    <xdr:to>
      <xdr:col>0</xdr:col>
      <xdr:colOff>123825</xdr:colOff>
      <xdr:row>35</xdr:row>
      <xdr:rowOff>422275</xdr:rowOff>
    </xdr:to>
    <xdr:pic macro="[5]!DesignIconClicked">
      <xdr:nvPicPr>
        <xdr:cNvPr id="9160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590800"/>
          <a:ext cx="123825" cy="584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123825</xdr:colOff>
      <xdr:row>32</xdr:row>
      <xdr:rowOff>123825</xdr:rowOff>
    </xdr:to>
    <xdr:pic macro="[5]!DesignIconClicked">
      <xdr:nvPicPr>
        <xdr:cNvPr id="9161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38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123825</xdr:colOff>
      <xdr:row>31</xdr:row>
      <xdr:rowOff>123825</xdr:rowOff>
    </xdr:to>
    <xdr:pic macro="[5]!DesignIconClicked">
      <xdr:nvPicPr>
        <xdr:cNvPr id="9162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47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123825</xdr:colOff>
      <xdr:row>30</xdr:row>
      <xdr:rowOff>123825</xdr:rowOff>
    </xdr:to>
    <xdr:pic macro="[5]!DesignIconClicked">
      <xdr:nvPicPr>
        <xdr:cNvPr id="9163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5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64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65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32</xdr:row>
      <xdr:rowOff>84495</xdr:rowOff>
    </xdr:to>
    <xdr:pic macro="[5]!DesignIconClicked">
      <xdr:nvPicPr>
        <xdr:cNvPr id="9166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84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67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68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69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31</xdr:row>
      <xdr:rowOff>53832</xdr:rowOff>
    </xdr:to>
    <xdr:pic macro="[5]!DesignIconClicked">
      <xdr:nvPicPr>
        <xdr:cNvPr id="9170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634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1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2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3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4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</xdr:row>
      <xdr:rowOff>9525</xdr:rowOff>
    </xdr:from>
    <xdr:to>
      <xdr:col>0</xdr:col>
      <xdr:colOff>123825</xdr:colOff>
      <xdr:row>29</xdr:row>
      <xdr:rowOff>133350</xdr:rowOff>
    </xdr:to>
    <xdr:pic macro="[5]!DesignIconClicked">
      <xdr:nvPicPr>
        <xdr:cNvPr id="9175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04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6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7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8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79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0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1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2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31</xdr:row>
      <xdr:rowOff>53832</xdr:rowOff>
    </xdr:to>
    <xdr:pic macro="[5]!DesignIconClicked">
      <xdr:nvPicPr>
        <xdr:cNvPr id="9183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634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123825</xdr:colOff>
      <xdr:row>36</xdr:row>
      <xdr:rowOff>123825</xdr:rowOff>
    </xdr:to>
    <xdr:pic macro="[5]!DesignIconClicked">
      <xdr:nvPicPr>
        <xdr:cNvPr id="9184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257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89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123825</xdr:colOff>
      <xdr:row>27</xdr:row>
      <xdr:rowOff>123825</xdr:rowOff>
    </xdr:to>
    <xdr:pic macro="[5]!DesignIconClicked">
      <xdr:nvPicPr>
        <xdr:cNvPr id="919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123825</xdr:colOff>
      <xdr:row>42</xdr:row>
      <xdr:rowOff>123825</xdr:rowOff>
    </xdr:to>
    <xdr:pic macro="[5]!DesignIconClicked">
      <xdr:nvPicPr>
        <xdr:cNvPr id="9191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943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123825</xdr:colOff>
      <xdr:row>42</xdr:row>
      <xdr:rowOff>123825</xdr:rowOff>
    </xdr:to>
    <xdr:pic macro="[5]!DesignIconClicked">
      <xdr:nvPicPr>
        <xdr:cNvPr id="919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943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123825</xdr:colOff>
      <xdr:row>43</xdr:row>
      <xdr:rowOff>123825</xdr:rowOff>
    </xdr:to>
    <xdr:pic macro="[5]!DesignIconClicked">
      <xdr:nvPicPr>
        <xdr:cNvPr id="919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30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123825</xdr:colOff>
      <xdr:row>43</xdr:row>
      <xdr:rowOff>123825</xdr:rowOff>
    </xdr:to>
    <xdr:pic macro="[5]!DesignIconClicked">
      <xdr:nvPicPr>
        <xdr:cNvPr id="9194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30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123825</xdr:colOff>
      <xdr:row>44</xdr:row>
      <xdr:rowOff>85725</xdr:rowOff>
    </xdr:to>
    <xdr:pic macro="[5]!DesignIconClicked">
      <xdr:nvPicPr>
        <xdr:cNvPr id="9195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4960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123825</xdr:colOff>
      <xdr:row>44</xdr:row>
      <xdr:rowOff>85725</xdr:rowOff>
    </xdr:to>
    <xdr:pic macro="[5]!DesignIconClicked">
      <xdr:nvPicPr>
        <xdr:cNvPr id="9196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4960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123825</xdr:colOff>
      <xdr:row>48</xdr:row>
      <xdr:rowOff>123825</xdr:rowOff>
    </xdr:to>
    <xdr:pic macro="[5]!DesignIconClicked">
      <xdr:nvPicPr>
        <xdr:cNvPr id="9197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448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123825</xdr:colOff>
      <xdr:row>49</xdr:row>
      <xdr:rowOff>123825</xdr:rowOff>
    </xdr:to>
    <xdr:pic macro="[5]!DesignIconClicked">
      <xdr:nvPicPr>
        <xdr:cNvPr id="9198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639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123825</xdr:colOff>
      <xdr:row>50</xdr:row>
      <xdr:rowOff>123825</xdr:rowOff>
    </xdr:to>
    <xdr:pic macro="[5]!DesignIconClicked">
      <xdr:nvPicPr>
        <xdr:cNvPr id="9199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829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50</xdr:row>
      <xdr:rowOff>152400</xdr:rowOff>
    </xdr:from>
    <xdr:to>
      <xdr:col>0</xdr:col>
      <xdr:colOff>123825</xdr:colOff>
      <xdr:row>55</xdr:row>
      <xdr:rowOff>152401</xdr:rowOff>
    </xdr:to>
    <xdr:pic macro="[5]!DesignIconClicked">
      <xdr:nvPicPr>
        <xdr:cNvPr id="9200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981950"/>
          <a:ext cx="123825" cy="647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123825</xdr:colOff>
      <xdr:row>52</xdr:row>
      <xdr:rowOff>123825</xdr:rowOff>
    </xdr:to>
    <xdr:pic macro="[5]!DesignIconClicked">
      <xdr:nvPicPr>
        <xdr:cNvPr id="9201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91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123825</xdr:colOff>
      <xdr:row>53</xdr:row>
      <xdr:rowOff>123825</xdr:rowOff>
    </xdr:to>
    <xdr:pic macro="[5]!DesignIconClicked">
      <xdr:nvPicPr>
        <xdr:cNvPr id="9202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97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123825</xdr:colOff>
      <xdr:row>54</xdr:row>
      <xdr:rowOff>123825</xdr:rowOff>
    </xdr:to>
    <xdr:pic macro="[5]!DesignIconClicked">
      <xdr:nvPicPr>
        <xdr:cNvPr id="9203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544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9525</xdr:rowOff>
    </xdr:from>
    <xdr:to>
      <xdr:col>0</xdr:col>
      <xdr:colOff>123825</xdr:colOff>
      <xdr:row>56</xdr:row>
      <xdr:rowOff>133350</xdr:rowOff>
    </xdr:to>
    <xdr:pic macro="[5]!DesignIconClicked">
      <xdr:nvPicPr>
        <xdr:cNvPr id="9204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125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123825</xdr:colOff>
      <xdr:row>54</xdr:row>
      <xdr:rowOff>123825</xdr:rowOff>
    </xdr:to>
    <xdr:pic macro="[5]!DesignIconClicked">
      <xdr:nvPicPr>
        <xdr:cNvPr id="9205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544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123825</xdr:colOff>
      <xdr:row>48</xdr:row>
      <xdr:rowOff>123825</xdr:rowOff>
    </xdr:to>
    <xdr:pic macro="[5]!DesignIconClicked">
      <xdr:nvPicPr>
        <xdr:cNvPr id="9206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48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123825</xdr:colOff>
      <xdr:row>53</xdr:row>
      <xdr:rowOff>123825</xdr:rowOff>
    </xdr:to>
    <xdr:pic macro="[5]!DesignIconClicked">
      <xdr:nvPicPr>
        <xdr:cNvPr id="9207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97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123825</xdr:colOff>
      <xdr:row>49</xdr:row>
      <xdr:rowOff>123825</xdr:rowOff>
    </xdr:to>
    <xdr:pic macro="[5]!DesignIconClicked">
      <xdr:nvPicPr>
        <xdr:cNvPr id="9208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639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123825</xdr:colOff>
      <xdr:row>55</xdr:row>
      <xdr:rowOff>85725</xdr:rowOff>
    </xdr:to>
    <xdr:pic macro="[5]!DesignIconClicked">
      <xdr:nvPicPr>
        <xdr:cNvPr id="9209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7345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123825</xdr:colOff>
      <xdr:row>55</xdr:row>
      <xdr:rowOff>85725</xdr:rowOff>
    </xdr:to>
    <xdr:pic macro="[5]!DesignIconClicked">
      <xdr:nvPicPr>
        <xdr:cNvPr id="9210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7345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123825</xdr:colOff>
      <xdr:row>53</xdr:row>
      <xdr:rowOff>123825</xdr:rowOff>
    </xdr:to>
    <xdr:pic macro="[5]!DesignIconClicked">
      <xdr:nvPicPr>
        <xdr:cNvPr id="9211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897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54</xdr:row>
      <xdr:rowOff>9525</xdr:rowOff>
    </xdr:from>
    <xdr:to>
      <xdr:col>0</xdr:col>
      <xdr:colOff>123825</xdr:colOff>
      <xdr:row>54</xdr:row>
      <xdr:rowOff>133350</xdr:rowOff>
    </xdr:to>
    <xdr:pic macro="[5]!DesignIconClicked">
      <xdr:nvPicPr>
        <xdr:cNvPr id="9212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9553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123825</xdr:colOff>
      <xdr:row>55</xdr:row>
      <xdr:rowOff>123825</xdr:rowOff>
    </xdr:to>
    <xdr:pic macro="[5]!DesignIconClicked">
      <xdr:nvPicPr>
        <xdr:cNvPr id="9213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734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123825</xdr:colOff>
      <xdr:row>56</xdr:row>
      <xdr:rowOff>123825</xdr:rowOff>
    </xdr:to>
    <xdr:pic macro="[5]!DesignIconClicked">
      <xdr:nvPicPr>
        <xdr:cNvPr id="9214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11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123825</xdr:colOff>
      <xdr:row>55</xdr:row>
      <xdr:rowOff>123825</xdr:rowOff>
    </xdr:to>
    <xdr:pic macro="[5]!DesignIconClicked">
      <xdr:nvPicPr>
        <xdr:cNvPr id="9215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734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152400</xdr:rowOff>
    </xdr:from>
    <xdr:to>
      <xdr:col>0</xdr:col>
      <xdr:colOff>123825</xdr:colOff>
      <xdr:row>56</xdr:row>
      <xdr:rowOff>85725</xdr:rowOff>
    </xdr:to>
    <xdr:pic macro="[5]!DesignIconClicked">
      <xdr:nvPicPr>
        <xdr:cNvPr id="9216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124950"/>
          <a:ext cx="123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123825</xdr:colOff>
      <xdr:row>52</xdr:row>
      <xdr:rowOff>123825</xdr:rowOff>
    </xdr:to>
    <xdr:pic macro="[5]!DesignIconClicked">
      <xdr:nvPicPr>
        <xdr:cNvPr id="9217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91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123825</xdr:colOff>
      <xdr:row>56</xdr:row>
      <xdr:rowOff>123825</xdr:rowOff>
    </xdr:to>
    <xdr:pic macro="[5]!DesignIconClicked">
      <xdr:nvPicPr>
        <xdr:cNvPr id="9218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115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123825</xdr:colOff>
      <xdr:row>53</xdr:row>
      <xdr:rowOff>123825</xdr:rowOff>
    </xdr:to>
    <xdr:pic macro="[5]!DesignIconClicked">
      <xdr:nvPicPr>
        <xdr:cNvPr id="9219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972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0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1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2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3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4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6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63</xdr:row>
      <xdr:rowOff>596607</xdr:rowOff>
    </xdr:to>
    <xdr:pic macro="[5]!DesignIconClicked">
      <xdr:nvPicPr>
        <xdr:cNvPr id="9227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672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8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29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0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1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2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4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5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6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7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38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63</xdr:row>
      <xdr:rowOff>600888</xdr:rowOff>
    </xdr:to>
    <xdr:pic macro="[5]!DesignIconClicked">
      <xdr:nvPicPr>
        <xdr:cNvPr id="9239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6389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40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41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42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43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44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123825</xdr:colOff>
      <xdr:row>58</xdr:row>
      <xdr:rowOff>123825</xdr:rowOff>
    </xdr:to>
    <xdr:pic macro="[5]!DesignIconClicked">
      <xdr:nvPicPr>
        <xdr:cNvPr id="9245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123825</xdr:colOff>
      <xdr:row>59</xdr:row>
      <xdr:rowOff>123825</xdr:rowOff>
    </xdr:to>
    <xdr:pic macro="[5]!DesignIconClicked">
      <xdr:nvPicPr>
        <xdr:cNvPr id="9246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123825</xdr:colOff>
      <xdr:row>64</xdr:row>
      <xdr:rowOff>123825</xdr:rowOff>
    </xdr:to>
    <xdr:pic macro="[5]!DesignIconClicked">
      <xdr:nvPicPr>
        <xdr:cNvPr id="9247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9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65</xdr:row>
      <xdr:rowOff>9525</xdr:rowOff>
    </xdr:from>
    <xdr:to>
      <xdr:col>0</xdr:col>
      <xdr:colOff>123825</xdr:colOff>
      <xdr:row>65</xdr:row>
      <xdr:rowOff>133350</xdr:rowOff>
    </xdr:to>
    <xdr:pic macro="[5]!DesignIconClicked">
      <xdr:nvPicPr>
        <xdr:cNvPr id="9248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908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123825</xdr:colOff>
      <xdr:row>66</xdr:row>
      <xdr:rowOff>123825</xdr:rowOff>
    </xdr:to>
    <xdr:pic macro="[5]!DesignIconClicked">
      <xdr:nvPicPr>
        <xdr:cNvPr id="9249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62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123825</xdr:colOff>
      <xdr:row>67</xdr:row>
      <xdr:rowOff>123825</xdr:rowOff>
    </xdr:to>
    <xdr:pic macro="[5]!DesignIconClicked">
      <xdr:nvPicPr>
        <xdr:cNvPr id="9250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0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123825</xdr:colOff>
      <xdr:row>68</xdr:row>
      <xdr:rowOff>57150</xdr:rowOff>
    </xdr:to>
    <xdr:pic macro="[5]!DesignIconClicked">
      <xdr:nvPicPr>
        <xdr:cNvPr id="9251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0195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76200</xdr:rowOff>
    </xdr:from>
    <xdr:to>
      <xdr:col>0</xdr:col>
      <xdr:colOff>123825</xdr:colOff>
      <xdr:row>68</xdr:row>
      <xdr:rowOff>133350</xdr:rowOff>
    </xdr:to>
    <xdr:pic macro="[5]!DesignIconClicked">
      <xdr:nvPicPr>
        <xdr:cNvPr id="9252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095750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123825</xdr:colOff>
      <xdr:row>70</xdr:row>
      <xdr:rowOff>123825</xdr:rowOff>
    </xdr:to>
    <xdr:pic macro="[5]!DesignIconClicked">
      <xdr:nvPicPr>
        <xdr:cNvPr id="9253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89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123825</xdr:colOff>
      <xdr:row>71</xdr:row>
      <xdr:rowOff>123825</xdr:rowOff>
    </xdr:to>
    <xdr:pic macro="[5]!DesignIconClicked">
      <xdr:nvPicPr>
        <xdr:cNvPr id="9254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86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123825</xdr:colOff>
      <xdr:row>72</xdr:row>
      <xdr:rowOff>123825</xdr:rowOff>
    </xdr:to>
    <xdr:pic macro="[5]!DesignIconClicked">
      <xdr:nvPicPr>
        <xdr:cNvPr id="9255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27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73</xdr:row>
      <xdr:rowOff>9525</xdr:rowOff>
    </xdr:from>
    <xdr:to>
      <xdr:col>0</xdr:col>
      <xdr:colOff>123825</xdr:colOff>
      <xdr:row>73</xdr:row>
      <xdr:rowOff>133350</xdr:rowOff>
    </xdr:to>
    <xdr:pic macro="[5]!DesignIconClicked">
      <xdr:nvPicPr>
        <xdr:cNvPr id="9256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476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123825</xdr:colOff>
      <xdr:row>74</xdr:row>
      <xdr:rowOff>123825</xdr:rowOff>
    </xdr:to>
    <xdr:pic macro="[5]!DesignIconClicked">
      <xdr:nvPicPr>
        <xdr:cNvPr id="9257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848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123825</xdr:colOff>
      <xdr:row>75</xdr:row>
      <xdr:rowOff>123825</xdr:rowOff>
    </xdr:to>
    <xdr:pic macro="[5]!DesignIconClicked">
      <xdr:nvPicPr>
        <xdr:cNvPr id="9258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229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123825</xdr:colOff>
      <xdr:row>76</xdr:row>
      <xdr:rowOff>123825</xdr:rowOff>
    </xdr:to>
    <xdr:pic macro="[5]!DesignIconClicked">
      <xdr:nvPicPr>
        <xdr:cNvPr id="9259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10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123825</xdr:colOff>
      <xdr:row>82</xdr:row>
      <xdr:rowOff>123825</xdr:rowOff>
    </xdr:to>
    <xdr:pic macro="[5]!DesignIconClicked">
      <xdr:nvPicPr>
        <xdr:cNvPr id="9260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134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123825</xdr:colOff>
      <xdr:row>83</xdr:row>
      <xdr:rowOff>123825</xdr:rowOff>
    </xdr:to>
    <xdr:pic macro="[5]!DesignIconClicked">
      <xdr:nvPicPr>
        <xdr:cNvPr id="9261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324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123825</xdr:colOff>
      <xdr:row>84</xdr:row>
      <xdr:rowOff>123825</xdr:rowOff>
    </xdr:to>
    <xdr:pic macro="[5]!DesignIconClicked">
      <xdr:nvPicPr>
        <xdr:cNvPr id="9262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70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84</xdr:row>
      <xdr:rowOff>152400</xdr:rowOff>
    </xdr:from>
    <xdr:to>
      <xdr:col>0</xdr:col>
      <xdr:colOff>123825</xdr:colOff>
      <xdr:row>85</xdr:row>
      <xdr:rowOff>108250</xdr:rowOff>
    </xdr:to>
    <xdr:pic macro="[5]!DesignIconClicked">
      <xdr:nvPicPr>
        <xdr:cNvPr id="9263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858250"/>
          <a:ext cx="123825" cy="10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123825</xdr:colOff>
      <xdr:row>86</xdr:row>
      <xdr:rowOff>123825</xdr:rowOff>
    </xdr:to>
    <xdr:pic macro="[5]!DesignIconClicked">
      <xdr:nvPicPr>
        <xdr:cNvPr id="9264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8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123825</xdr:colOff>
      <xdr:row>87</xdr:row>
      <xdr:rowOff>123825</xdr:rowOff>
    </xdr:to>
    <xdr:pic macro="[5]!DesignIconClicked">
      <xdr:nvPicPr>
        <xdr:cNvPr id="9265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27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123825</xdr:colOff>
      <xdr:row>88</xdr:row>
      <xdr:rowOff>123825</xdr:rowOff>
    </xdr:to>
    <xdr:pic macro="[5]!DesignIconClicked">
      <xdr:nvPicPr>
        <xdr:cNvPr id="9266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467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123825</xdr:colOff>
      <xdr:row>90</xdr:row>
      <xdr:rowOff>123825</xdr:rowOff>
    </xdr:to>
    <xdr:pic macro="[5]!DesignIconClicked">
      <xdr:nvPicPr>
        <xdr:cNvPr id="9267" name="BExM8SOCWWQ6X2C3OO3YSA1XB7O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48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68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69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0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1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2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67</xdr:row>
      <xdr:rowOff>96028</xdr:rowOff>
    </xdr:to>
    <xdr:pic macro="[5]!DesignIconClicked">
      <xdr:nvPicPr>
        <xdr:cNvPr id="9273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4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5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6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7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68</xdr:row>
      <xdr:rowOff>248578</xdr:rowOff>
    </xdr:to>
    <xdr:pic macro="[5]!DesignIconClicked">
      <xdr:nvPicPr>
        <xdr:cNvPr id="9278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79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0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1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2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67</xdr:row>
      <xdr:rowOff>96028</xdr:rowOff>
    </xdr:to>
    <xdr:pic macro="[5]!DesignIconClicked">
      <xdr:nvPicPr>
        <xdr:cNvPr id="9283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4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5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6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7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8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89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0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1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2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3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116440</xdr:rowOff>
    </xdr:to>
    <xdr:pic macro="[5]!DesignIconClicked">
      <xdr:nvPicPr>
        <xdr:cNvPr id="9294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5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6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7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8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299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68</xdr:row>
      <xdr:rowOff>248578</xdr:rowOff>
    </xdr:to>
    <xdr:pic macro="[5]!DesignIconClicked">
      <xdr:nvPicPr>
        <xdr:cNvPr id="9300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01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02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123825</xdr:colOff>
      <xdr:row>88</xdr:row>
      <xdr:rowOff>123825</xdr:rowOff>
    </xdr:to>
    <xdr:pic macro="[5]!DesignIconClicked">
      <xdr:nvPicPr>
        <xdr:cNvPr id="9303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467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123825</xdr:colOff>
      <xdr:row>87</xdr:row>
      <xdr:rowOff>123825</xdr:rowOff>
    </xdr:to>
    <xdr:pic macro="[5]!DesignIconClicked">
      <xdr:nvPicPr>
        <xdr:cNvPr id="9304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27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123825</xdr:colOff>
      <xdr:row>86</xdr:row>
      <xdr:rowOff>123825</xdr:rowOff>
    </xdr:to>
    <xdr:pic macro="[5]!DesignIconClicked">
      <xdr:nvPicPr>
        <xdr:cNvPr id="9305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08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123825</xdr:colOff>
      <xdr:row>80</xdr:row>
      <xdr:rowOff>123825</xdr:rowOff>
    </xdr:to>
    <xdr:pic macro="[5]!DesignIconClicked">
      <xdr:nvPicPr>
        <xdr:cNvPr id="9306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753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123825</xdr:colOff>
      <xdr:row>76</xdr:row>
      <xdr:rowOff>123825</xdr:rowOff>
    </xdr:to>
    <xdr:pic macro="[5]!DesignIconClicked">
      <xdr:nvPicPr>
        <xdr:cNvPr id="9307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610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123825</xdr:colOff>
      <xdr:row>75</xdr:row>
      <xdr:rowOff>123825</xdr:rowOff>
    </xdr:to>
    <xdr:pic macro="[5]!DesignIconClicked">
      <xdr:nvPicPr>
        <xdr:cNvPr id="9308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229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123825</xdr:colOff>
      <xdr:row>66</xdr:row>
      <xdr:rowOff>123825</xdr:rowOff>
    </xdr:to>
    <xdr:pic macro="[5]!DesignIconClicked">
      <xdr:nvPicPr>
        <xdr:cNvPr id="9309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162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</xdr:row>
      <xdr:rowOff>152400</xdr:rowOff>
    </xdr:from>
    <xdr:to>
      <xdr:col>0</xdr:col>
      <xdr:colOff>123825</xdr:colOff>
      <xdr:row>66</xdr:row>
      <xdr:rowOff>292048</xdr:rowOff>
    </xdr:to>
    <xdr:pic macro="[5]!DesignIconClicked">
      <xdr:nvPicPr>
        <xdr:cNvPr id="9310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43200"/>
          <a:ext cx="123825" cy="272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123825</xdr:colOff>
      <xdr:row>64</xdr:row>
      <xdr:rowOff>123825</xdr:rowOff>
    </xdr:to>
    <xdr:pic macro="[5]!DesignIconClicked">
      <xdr:nvPicPr>
        <xdr:cNvPr id="9311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90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123825</xdr:colOff>
      <xdr:row>63</xdr:row>
      <xdr:rowOff>123825</xdr:rowOff>
    </xdr:to>
    <xdr:pic macro="[5]!DesignIconClicked">
      <xdr:nvPicPr>
        <xdr:cNvPr id="9312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00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60</xdr:row>
      <xdr:rowOff>9525</xdr:rowOff>
    </xdr:from>
    <xdr:to>
      <xdr:col>0</xdr:col>
      <xdr:colOff>123825</xdr:colOff>
      <xdr:row>60</xdr:row>
      <xdr:rowOff>133350</xdr:rowOff>
    </xdr:to>
    <xdr:pic macro="[5]!DesignIconClicked">
      <xdr:nvPicPr>
        <xdr:cNvPr id="9313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323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123825</xdr:colOff>
      <xdr:row>59</xdr:row>
      <xdr:rowOff>123825</xdr:rowOff>
    </xdr:to>
    <xdr:pic macro="[5]!DesignIconClicked">
      <xdr:nvPicPr>
        <xdr:cNvPr id="9314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933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123825</xdr:colOff>
      <xdr:row>58</xdr:row>
      <xdr:rowOff>123825</xdr:rowOff>
    </xdr:to>
    <xdr:pic macro="[5]!DesignIconClicked">
      <xdr:nvPicPr>
        <xdr:cNvPr id="9315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42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66</xdr:row>
      <xdr:rowOff>198221</xdr:rowOff>
    </xdr:to>
    <xdr:pic macro="[5]!DesignIconClicked">
      <xdr:nvPicPr>
        <xdr:cNvPr id="9316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360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17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18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68</xdr:row>
      <xdr:rowOff>249755</xdr:rowOff>
    </xdr:to>
    <xdr:pic macro="[5]!DesignIconClicked">
      <xdr:nvPicPr>
        <xdr:cNvPr id="9319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499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0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2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3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4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5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6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116440</xdr:rowOff>
    </xdr:to>
    <xdr:pic macro="[5]!DesignIconClicked">
      <xdr:nvPicPr>
        <xdr:cNvPr id="9327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1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8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29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0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1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2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88</xdr:row>
      <xdr:rowOff>152400</xdr:rowOff>
    </xdr:from>
    <xdr:to>
      <xdr:col>0</xdr:col>
      <xdr:colOff>123825</xdr:colOff>
      <xdr:row>90</xdr:row>
      <xdr:rowOff>155879</xdr:rowOff>
    </xdr:to>
    <xdr:pic macro="[5]!DesignIconClicked">
      <xdr:nvPicPr>
        <xdr:cNvPr id="9333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620250"/>
          <a:ext cx="123825" cy="108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4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5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85</xdr:row>
      <xdr:rowOff>9525</xdr:rowOff>
    </xdr:from>
    <xdr:to>
      <xdr:col>0</xdr:col>
      <xdr:colOff>123825</xdr:colOff>
      <xdr:row>85</xdr:row>
      <xdr:rowOff>133350</xdr:rowOff>
    </xdr:to>
    <xdr:pic macro="[5]!DesignIconClicked">
      <xdr:nvPicPr>
        <xdr:cNvPr id="9336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905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7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8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39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67</xdr:row>
      <xdr:rowOff>96028</xdr:rowOff>
    </xdr:to>
    <xdr:pic macro="[5]!DesignIconClicked">
      <xdr:nvPicPr>
        <xdr:cNvPr id="9340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41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42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123825</xdr:colOff>
      <xdr:row>84</xdr:row>
      <xdr:rowOff>123825</xdr:rowOff>
    </xdr:to>
    <xdr:pic macro="[5]!DesignIconClicked">
      <xdr:nvPicPr>
        <xdr:cNvPr id="9343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705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80</xdr:row>
      <xdr:rowOff>152400</xdr:rowOff>
    </xdr:from>
    <xdr:to>
      <xdr:col>0</xdr:col>
      <xdr:colOff>123825</xdr:colOff>
      <xdr:row>83</xdr:row>
      <xdr:rowOff>127300</xdr:rowOff>
    </xdr:to>
    <xdr:pic macro="[5]!DesignIconClicked">
      <xdr:nvPicPr>
        <xdr:cNvPr id="9344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905750"/>
          <a:ext cx="123825" cy="10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123825</xdr:colOff>
      <xdr:row>80</xdr:row>
      <xdr:rowOff>123825</xdr:rowOff>
    </xdr:to>
    <xdr:pic macro="[5]!DesignIconClicked">
      <xdr:nvPicPr>
        <xdr:cNvPr id="9345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53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77</xdr:row>
      <xdr:rowOff>9525</xdr:rowOff>
    </xdr:from>
    <xdr:to>
      <xdr:col>0</xdr:col>
      <xdr:colOff>123825</xdr:colOff>
      <xdr:row>77</xdr:row>
      <xdr:rowOff>133350</xdr:rowOff>
    </xdr:to>
    <xdr:pic macro="[5]!DesignIconClicked">
      <xdr:nvPicPr>
        <xdr:cNvPr id="9346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00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47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48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123825</xdr:colOff>
      <xdr:row>74</xdr:row>
      <xdr:rowOff>123825</xdr:rowOff>
    </xdr:to>
    <xdr:pic macro="[5]!DesignIconClicked">
      <xdr:nvPicPr>
        <xdr:cNvPr id="9349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48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72</xdr:row>
      <xdr:rowOff>152400</xdr:rowOff>
    </xdr:from>
    <xdr:to>
      <xdr:col>0</xdr:col>
      <xdr:colOff>123825</xdr:colOff>
      <xdr:row>80</xdr:row>
      <xdr:rowOff>108373</xdr:rowOff>
    </xdr:to>
    <xdr:pic macro="[5]!DesignIconClicked">
      <xdr:nvPicPr>
        <xdr:cNvPr id="9350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429250"/>
          <a:ext cx="123825" cy="6798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123825</xdr:colOff>
      <xdr:row>67</xdr:row>
      <xdr:rowOff>123825</xdr:rowOff>
    </xdr:to>
    <xdr:pic macro="[5]!DesignIconClicked">
      <xdr:nvPicPr>
        <xdr:cNvPr id="9351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05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123825</xdr:colOff>
      <xdr:row>62</xdr:row>
      <xdr:rowOff>123825</xdr:rowOff>
    </xdr:to>
    <xdr:pic macro="[5]!DesignIconClicked">
      <xdr:nvPicPr>
        <xdr:cNvPr id="9352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88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3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4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5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6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7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8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59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0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1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2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68</xdr:row>
      <xdr:rowOff>248578</xdr:rowOff>
    </xdr:to>
    <xdr:pic macro="[5]!DesignIconClicked">
      <xdr:nvPicPr>
        <xdr:cNvPr id="9363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848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4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5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6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7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8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69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67</xdr:row>
      <xdr:rowOff>96028</xdr:rowOff>
    </xdr:to>
    <xdr:pic macro="[5]!DesignIconClicked">
      <xdr:nvPicPr>
        <xdr:cNvPr id="9370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458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1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2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3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4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63</xdr:row>
      <xdr:rowOff>600531</xdr:rowOff>
    </xdr:to>
    <xdr:pic macro="[5]!DesignIconClicked">
      <xdr:nvPicPr>
        <xdr:cNvPr id="9375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63</xdr:row>
      <xdr:rowOff>600531</xdr:rowOff>
    </xdr:to>
    <xdr:pic macro="[5]!DesignIconClicked">
      <xdr:nvPicPr>
        <xdr:cNvPr id="9376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63</xdr:row>
      <xdr:rowOff>600531</xdr:rowOff>
    </xdr:to>
    <xdr:pic macro="[5]!DesignIconClicked">
      <xdr:nvPicPr>
        <xdr:cNvPr id="9377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571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8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79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0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1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2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67</xdr:row>
      <xdr:rowOff>98115</xdr:rowOff>
    </xdr:to>
    <xdr:pic macro="[5]!DesignIconClicked">
      <xdr:nvPicPr>
        <xdr:cNvPr id="9383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460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4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5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6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64</xdr:row>
      <xdr:rowOff>177238</xdr:rowOff>
    </xdr:to>
    <xdr:pic macro="[5]!DesignIconClicked">
      <xdr:nvPicPr>
        <xdr:cNvPr id="9387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44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8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89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0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1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2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3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4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5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6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7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399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64</xdr:row>
      <xdr:rowOff>177238</xdr:rowOff>
    </xdr:to>
    <xdr:pic macro="[5]!DesignIconClicked">
      <xdr:nvPicPr>
        <xdr:cNvPr id="9400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2450"/>
          <a:ext cx="123825" cy="1044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1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2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3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4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5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6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7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8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09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10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123825</xdr:rowOff>
    </xdr:to>
    <xdr:pic macro="[5]!DesignIconClicked">
      <xdr:nvPicPr>
        <xdr:cNvPr id="9411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85725</xdr:rowOff>
    </xdr:to>
    <xdr:pic macro="[5]!DesignIconClicked">
      <xdr:nvPicPr>
        <xdr:cNvPr id="9412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85725</xdr:rowOff>
    </xdr:to>
    <xdr:pic macro="[5]!DesignIconClicked">
      <xdr:nvPicPr>
        <xdr:cNvPr id="9413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85725</xdr:rowOff>
    </xdr:to>
    <xdr:pic macro="[5]!DesignIconClicked">
      <xdr:nvPicPr>
        <xdr:cNvPr id="9414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68</xdr:row>
      <xdr:rowOff>255001</xdr:rowOff>
    </xdr:to>
    <xdr:pic macro="[5]!DesignIconClicked">
      <xdr:nvPicPr>
        <xdr:cNvPr id="9415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1855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123825</xdr:colOff>
      <xdr:row>57</xdr:row>
      <xdr:rowOff>85725</xdr:rowOff>
    </xdr:to>
    <xdr:pic macro="[5]!DesignIconClicked">
      <xdr:nvPicPr>
        <xdr:cNvPr id="9416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524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</xdr:row>
      <xdr:rowOff>9525</xdr:rowOff>
    </xdr:from>
    <xdr:to>
      <xdr:col>0</xdr:col>
      <xdr:colOff>123825</xdr:colOff>
      <xdr:row>61</xdr:row>
      <xdr:rowOff>133350</xdr:rowOff>
    </xdr:to>
    <xdr:pic macro="[5]!DesignIconClicked">
      <xdr:nvPicPr>
        <xdr:cNvPr id="9417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14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18" name="BExU8KVVNEKVLJ9T0XDJ78DSNM8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19" name="BExGN302TYM4F5CZ30A5OQVH2KA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0" name="BExSC30Q8K1LGL4RN5O01UKQ6M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1" name="BEx9DQXXPY5I7UHFYWRYLU7394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22" name="BExAYQX2UZCQBY39YMHCTX2HT3K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3" name="BEx3ERZVWKDSMEC9NRN9XVPFZMN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24" name="BExGT74TUGFD21RKBPCVDF8UW1Z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25" name="BExGXOYWQYFAN1X4G2A4PIQEEA0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6" name="BExF7CA7ZI1CUGKE4XI39LDPELC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7" name="BExIU5HEYPIO1MYR9FRTXDUT7P7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8" name="BExS89LWBS6G6C59AN2HWTQZ7R4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29" name="BExMN3ESP6XBMC56XZ9T5TUB6Q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0" name="BExZLJ9XPOQ4KGO30B3TO9RQJDC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1" name="BExZKQCRGHTSTXWKY563OI0ML4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2" name="BExMLQPKU2Q2JZF0UATNELH3EMK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33" name="BExIXPWJ6VF1QZLI1J6NA1PSYUS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4" name="BExY35PEGTYXVBH6KAESEZCSCNZ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5" name="BExIMPJXV7O6WXAQRVZVBELB9UB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4</xdr:row>
      <xdr:rowOff>0</xdr:rowOff>
    </xdr:from>
    <xdr:to>
      <xdr:col>1</xdr:col>
      <xdr:colOff>209550</xdr:colOff>
      <xdr:row>4</xdr:row>
      <xdr:rowOff>123825</xdr:rowOff>
    </xdr:to>
    <xdr:pic macro="[5]!DesignIconClicked">
      <xdr:nvPicPr>
        <xdr:cNvPr id="9436" name="BExGNTDLPOCN7HD6917L7WBM64W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4</xdr:row>
      <xdr:rowOff>0</xdr:rowOff>
    </xdr:from>
    <xdr:to>
      <xdr:col>1</xdr:col>
      <xdr:colOff>209550</xdr:colOff>
      <xdr:row>4</xdr:row>
      <xdr:rowOff>123825</xdr:rowOff>
    </xdr:to>
    <xdr:pic macro="[5]!DesignIconClicked">
      <xdr:nvPicPr>
        <xdr:cNvPr id="9437" name="BExXYZ93YGJ0T80QLV3FMOYQ88T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4</xdr:row>
      <xdr:rowOff>0</xdr:rowOff>
    </xdr:from>
    <xdr:to>
      <xdr:col>1</xdr:col>
      <xdr:colOff>209550</xdr:colOff>
      <xdr:row>4</xdr:row>
      <xdr:rowOff>123825</xdr:rowOff>
    </xdr:to>
    <xdr:pic macro="[5]!DesignIconClicked">
      <xdr:nvPicPr>
        <xdr:cNvPr id="9438" name="BExKHF4N1AID2GH0QG8M5YKUS0O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39" name="BExBDZTJZ95W3CP6FNAK24D18U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40" name="BExW9PDQM4VAZ3J6J97BFHEXDAP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41" name="BExSGD2HCNGWWJAG8YMQXD5ISO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42" name="BExZUER7UALH8L3RR2ML9VTANSZ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4</xdr:row>
      <xdr:rowOff>0</xdr:rowOff>
    </xdr:from>
    <xdr:to>
      <xdr:col>1</xdr:col>
      <xdr:colOff>133350</xdr:colOff>
      <xdr:row>4</xdr:row>
      <xdr:rowOff>123825</xdr:rowOff>
    </xdr:to>
    <xdr:pic macro="[5]!DesignIconClicked">
      <xdr:nvPicPr>
        <xdr:cNvPr id="9443" name="BExW092IHUJS8KNUD3MRLSCDCU4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44" name="BExQ1WG70IJV0C558354NXEPKD4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0</xdr:rowOff>
    </xdr:from>
    <xdr:to>
      <xdr:col>1</xdr:col>
      <xdr:colOff>171450</xdr:colOff>
      <xdr:row>4</xdr:row>
      <xdr:rowOff>123825</xdr:rowOff>
    </xdr:to>
    <xdr:pic macro="[5]!DesignIconClicked">
      <xdr:nvPicPr>
        <xdr:cNvPr id="9445" name="BExINIX6DVEQAJSDG7DXJB049W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446" name="BExTWBFED3TF9R2L5KAQ1ZE5925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447" name="BExB81U4CXF83Z6XRZGWACZ0OCD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448" name="BEx5C3TPDDXUW7418BB6PLCM9PN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449" name="BExF247YP6L5492FLPJN9B9SGF0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50" name="BExQANACY438258X87YODM75UJQ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1" name="BExOAPN8WOG4ZDPEFFMBTST443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2" name="BExS916LQNL239H3FYJTOLBRVU2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3" name="BEx7BDXVVPSW4ZSQDS5ALWNMZDH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4" name="BEx3Q7XJEV2QEL351LEWTPDCVCD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55" name="BExKDQYL4YK7A2LT0NCFICW8ECU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6" name="BExMQT851OFA8ZRZYIPMSJB6NV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7" name="BExU2JWI8A3PK25O9Y7VOVFRZS6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58" name="BExETMZA2VA30P02G75MK8TGB1J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59" name="BExW5NVMI8X7XNK7OBCDD8RVAH5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0" name="BExMQXF85W5IVDK6TP7HYXMI48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1" name="BExD211HNYQF97AZDUDB1LZ73OB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2" name="BExY4WC9VJBMX1WHTMB65GKH7DD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3" name="BExZVRB31JG0GWPRIH95UQOX6O4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4" name="BExTXYX0MAQ6R0XDHYK9SNDOCU9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5" name="BExF22KOXS16NT3U8XH0VDLY0U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6" name="BEx5GZG91IVAQP798OY5QXZOTE1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7" name="BEx97AOBEXBRKXNGF68TG1WQ2XM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8" name="BExOOB7D4561KA2Q18FYDOVBLQ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69" name="BEx912SQSW3B0ZFXD2D6ODSGQY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0" name="BExMCFN8AICHKSAY75CD1N7LNC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1" name="BExB2NBX577XBF62JKO519L7LJC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2" name="BExMEZI88F3Q5AMT1JSHMYKSQMF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3" name="BExOI3HBOAUNASJ8A0JH3XTSFG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4" name="BExAZXXBBD6V5HIGVSIZ9YPVCS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5" name="BExIOU9Y6ENL6AEWOAJV72305WK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76" name="BExO6EEIRT4YR6TW3BRC5AXLF50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7" name="BExB2WRQRVHK3MS6MFN3ZPKIAM3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8" name="BExZT75DONADJ8KBYZGJKLKQ7RF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79" name="BExKHIKSLLUULUVC14ARJWJ2I0C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80" name="BExZJY6KEB1FO3OWP1GFJGJCQ18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81" name="BExGYMZH0A9J50VSSDGNHKGDWEZ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82" name="BExKHH2WHPEG3JV0EHWKCPZF7UE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483" name="BExQH5I0IUD6OYQCAFHM3T4OYT8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84" name="BExZYD9FFWBBEMB8B1Y0XR6CKLX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85" name="BExF3CA1002LNZW58FBUIYK9B3R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86" name="BExS1KSUYQ26DOLBN93HVGGZNV3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87" name="BEx3MYLGK0QOS66CNT1OAP9NUHS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88" name="BEx76318HKI4D8FR5X1N7YQQCT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89" name="BExMK9IIKJTAC0W5BEI917Z9FRZ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0" name="BEx75TFY88KAAX9X8VHQBNHYQ1N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1" name="BExZJGCOOCGVY2YUPHYBKDSB0GY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2" name="BExOBSWMZCY0H4VKOA8V0ZK4DBR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3" name="BExY1R7E73YEQQWGF5MAQ73NJ7K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4" name="BExOBLPP5AROLRUDVNMRIBSBTFT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5" name="BExCTXVP9XTHDO42NEY6CLUSQHU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6" name="BEx7APNXY91W6CSUV12R0D9U3LA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497" name="BEx1HBYPTEUQOAUGM9GO6XP7WC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8" name="BExIM3IUSV3IXKTKM1E7F7DK1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499" name="BEx5DWV1JDOERSF6N4065PG0UTG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0" name="BExEPM2OUGSW5760ATEAM980NM9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1" name="BEx5D4JICB6EM2KZOD14WGFLJXD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2" name="BEx1QTBNQSBC230UV7TCL41L6JD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3" name="BExQ3A7BK21ZYNQPAH4MXQ2X75K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4" name="BExIPDB0M4Z5JJLMMEZIHDITXY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5" name="BExMP4UAYHQTBG3MXNLKV8SV39B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06" name="BEx5G9J1X4YE2D4PBGX8JVLOOYF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7" name="BEx3KYO4AKBJAROVR4CYBA3315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8" name="BExTVFNO6Q5SQFFX8ZL4EVJF45N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09" name="BExU7K61K5KXZHOA47HKVTALW2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10" name="BExKQZXM9YA9Z4NYY2LWK94GQFB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11" name="BExB9CFS7IABJATU92PYQQ85YKF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12" name="BExB1W7EKILNX75I8ZDIIT2911R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13" name="BExF021R7LGDPDXTE8J0RAP569S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514" name="BExBDLFOP048H2TYN0G41L2HLQ7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515" name="BEx1W66EE4BANUHM0A8CQS6UMJ5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16" name="BExKHBTZ61FMPKT6NDDPZ148YJU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17" name="BEx9DEYCJJFXCDS6VFLNKINOMJL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18" name="BExQ44MDPOM6RP9QPTSOZPZ1X7C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19" name="BExMELF2D5EVXIPE4YAOAO9LUXZ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0" name="BEx01YL3BTCILV3ZZYS1C2NRZCD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1" name="BExGQX5Y436UW0D1O8BF2SBNCZ6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2" name="BEx1Q2Y6M89EP2CSFMNX6F1W14C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3" name="BExW42MS0D6NGAT06170GJY6EE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4" name="BExQC8TSFZ2QU8AXQIAG22KJOQO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5" name="BExCUF40PF31B9KMDZXZNZDVBKL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6" name="BExKSU0MC41VIXQVLWTF8IPNLMG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7" name="BExVUDXMMIS4KMBG94FD80WK6W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8" name="BExZNEPKFIY4VJFRW638042YPEN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29" name="BExD020BO6BRE78I8D2LZ1G2T1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0" name="BExGM6C0YUR566BV7S1PAWWMZCJ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1" name="BExIO5P81190U1LNRYSAL2S056K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2" name="BEx1MSV8HF3W5H4ZK8K73FXFVX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3" name="BEx1LQNKZ6I8GSDGRV9OAN51IL7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4" name="BExOJ2JOJH1BMJH4O9TLBKZ12QL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5" name="BEx7EXM4Z8YQG1FC3DI1HCPE79Y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6" name="BExQC2ZGDSTONQQO431646JNJNH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37" name="BExD1HK4AKBG8BELC1EFTODXXYA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8" name="BExBEJG7UFL9EOLJRHBGVNEV4PA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39" name="BExS9JRCSPP4WHGFL80CQYZW9LD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40" name="BEx79TW8YZ11MGT0VQJGQ0STLI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1" name="BExY4LEI6REBUIFGWJF4J45YPV8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2" name="BExEW634E86QSSBI8THCI668H7I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3" name="BExBFAFAI9ZYSF9161EV5AT0LUC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4" name="BExMQIW0ZIDYIYUUV6EZPCJ0NMZ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5" name="BExB5P640VJDGTIG5RYNZDHR50D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546" name="BExZNPCJPS39LEDT3ANHXTW6HSG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547" name="BExS7NKYXVU03Y0LXHYNTLKLD8D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8" name="BEx3LRFXJIF4W9TNSJJW2YX5V16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49" name="BExOKWS1SA2PVG4959TU8E2G84H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50" name="BExCXNZV0SL8USF81LL7P4D0LBC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51" name="BExQEY2YK80UKYXDPEGZAIHYJT9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0</xdr:rowOff>
    </xdr:from>
    <xdr:to>
      <xdr:col>0</xdr:col>
      <xdr:colOff>285750</xdr:colOff>
      <xdr:row>5</xdr:row>
      <xdr:rowOff>123825</xdr:rowOff>
    </xdr:to>
    <xdr:pic macro="[5]!DesignIconClicked">
      <xdr:nvPicPr>
        <xdr:cNvPr id="9552" name="BExKH0ANK0IHTPFOHKTNYC12XI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33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</xdr:row>
      <xdr:rowOff>9525</xdr:rowOff>
    </xdr:from>
    <xdr:to>
      <xdr:col>0</xdr:col>
      <xdr:colOff>323850</xdr:colOff>
      <xdr:row>6</xdr:row>
      <xdr:rowOff>133350</xdr:rowOff>
    </xdr:to>
    <xdr:pic macro="[5]!DesignIconClicked">
      <xdr:nvPicPr>
        <xdr:cNvPr id="9553" name="BExXSAQU32A5Y9JNSU5KO65SKT3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4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</xdr:row>
      <xdr:rowOff>0</xdr:rowOff>
    </xdr:from>
    <xdr:to>
      <xdr:col>0</xdr:col>
      <xdr:colOff>323850</xdr:colOff>
      <xdr:row>7</xdr:row>
      <xdr:rowOff>123825</xdr:rowOff>
    </xdr:to>
    <xdr:pic macro="[5]!DesignIconClicked">
      <xdr:nvPicPr>
        <xdr:cNvPr id="9554" name="BExKRUNLR8M9XVFCXMDMPP9F70C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8</xdr:row>
      <xdr:rowOff>0</xdr:rowOff>
    </xdr:from>
    <xdr:to>
      <xdr:col>0</xdr:col>
      <xdr:colOff>247650</xdr:colOff>
      <xdr:row>8</xdr:row>
      <xdr:rowOff>123825</xdr:rowOff>
    </xdr:to>
    <xdr:pic macro="[5]!DesignIconClicked">
      <xdr:nvPicPr>
        <xdr:cNvPr id="9555" name="BExINM7V429Z6SPTHGDRWS0C0ZQ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</xdr:row>
      <xdr:rowOff>0</xdr:rowOff>
    </xdr:from>
    <xdr:to>
      <xdr:col>0</xdr:col>
      <xdr:colOff>285750</xdr:colOff>
      <xdr:row>9</xdr:row>
      <xdr:rowOff>123825</xdr:rowOff>
    </xdr:to>
    <xdr:pic macro="[5]!DesignIconClicked">
      <xdr:nvPicPr>
        <xdr:cNvPr id="9556" name="BEx79AV6E4D426PVRK99740B2XG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5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19</xdr:row>
      <xdr:rowOff>0</xdr:rowOff>
    </xdr:from>
    <xdr:to>
      <xdr:col>0</xdr:col>
      <xdr:colOff>285750</xdr:colOff>
      <xdr:row>19</xdr:row>
      <xdr:rowOff>123825</xdr:rowOff>
    </xdr:to>
    <xdr:pic macro="[5]!DesignIconClicked">
      <xdr:nvPicPr>
        <xdr:cNvPr id="955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191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32</xdr:row>
      <xdr:rowOff>0</xdr:rowOff>
    </xdr:from>
    <xdr:to>
      <xdr:col>0</xdr:col>
      <xdr:colOff>247650</xdr:colOff>
      <xdr:row>32</xdr:row>
      <xdr:rowOff>123825</xdr:rowOff>
    </xdr:to>
    <xdr:pic macro="[5]!DesignIconClicked">
      <xdr:nvPicPr>
        <xdr:cNvPr id="9558" name="BEx0110NC2JH9JO4BLVU4H28J56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36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32</xdr:row>
      <xdr:rowOff>152400</xdr:rowOff>
    </xdr:from>
    <xdr:to>
      <xdr:col>0</xdr:col>
      <xdr:colOff>285750</xdr:colOff>
      <xdr:row>33</xdr:row>
      <xdr:rowOff>85725</xdr:rowOff>
    </xdr:to>
    <xdr:pic macro="[5]!DesignIconClicked">
      <xdr:nvPicPr>
        <xdr:cNvPr id="9559" name="BExZVFMBWJKY0TSMWKMC1IJW0GP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156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34</xdr:row>
      <xdr:rowOff>0</xdr:rowOff>
    </xdr:from>
    <xdr:to>
      <xdr:col>0</xdr:col>
      <xdr:colOff>323850</xdr:colOff>
      <xdr:row>34</xdr:row>
      <xdr:rowOff>123825</xdr:rowOff>
    </xdr:to>
    <xdr:pic macro="[5]!DesignIconClicked">
      <xdr:nvPicPr>
        <xdr:cNvPr id="9560" name="BExIG0QR583X7IQ2EJMEAUIN53K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35</xdr:row>
      <xdr:rowOff>0</xdr:rowOff>
    </xdr:from>
    <xdr:to>
      <xdr:col>0</xdr:col>
      <xdr:colOff>323850</xdr:colOff>
      <xdr:row>35</xdr:row>
      <xdr:rowOff>123825</xdr:rowOff>
    </xdr:to>
    <xdr:pic macro="[5]!DesignIconClicked">
      <xdr:nvPicPr>
        <xdr:cNvPr id="9561" name="BExD7W6CIT1L2ABETB492L630N4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42</xdr:row>
      <xdr:rowOff>0</xdr:rowOff>
    </xdr:from>
    <xdr:to>
      <xdr:col>0</xdr:col>
      <xdr:colOff>285750</xdr:colOff>
      <xdr:row>42</xdr:row>
      <xdr:rowOff>123825</xdr:rowOff>
    </xdr:to>
    <xdr:pic macro="[5]!DesignIconClicked">
      <xdr:nvPicPr>
        <xdr:cNvPr id="9562" name="BEx1PEO7VYJLLT0QRNNNLZP6VZQ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668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45</xdr:row>
      <xdr:rowOff>0</xdr:rowOff>
    </xdr:from>
    <xdr:to>
      <xdr:col>0</xdr:col>
      <xdr:colOff>247650</xdr:colOff>
      <xdr:row>45</xdr:row>
      <xdr:rowOff>123825</xdr:rowOff>
    </xdr:to>
    <xdr:pic macro="[5]!DesignIconClicked">
      <xdr:nvPicPr>
        <xdr:cNvPr id="9563" name="BExTVOI2RSPK32PQT701QEC5T7L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4773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46</xdr:row>
      <xdr:rowOff>0</xdr:rowOff>
    </xdr:from>
    <xdr:to>
      <xdr:col>0</xdr:col>
      <xdr:colOff>285750</xdr:colOff>
      <xdr:row>46</xdr:row>
      <xdr:rowOff>123825</xdr:rowOff>
    </xdr:to>
    <xdr:pic macro="[5]!DesignIconClicked">
      <xdr:nvPicPr>
        <xdr:cNvPr id="9564" name="BExB8NV3B5NIY12VV588E8BIORN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973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49</xdr:row>
      <xdr:rowOff>0</xdr:rowOff>
    </xdr:from>
    <xdr:to>
      <xdr:col>0</xdr:col>
      <xdr:colOff>285750</xdr:colOff>
      <xdr:row>49</xdr:row>
      <xdr:rowOff>123825</xdr:rowOff>
    </xdr:to>
    <xdr:pic macro="[5]!DesignIconClicked">
      <xdr:nvPicPr>
        <xdr:cNvPr id="9565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573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54</xdr:row>
      <xdr:rowOff>0</xdr:rowOff>
    </xdr:from>
    <xdr:to>
      <xdr:col>0</xdr:col>
      <xdr:colOff>171450</xdr:colOff>
      <xdr:row>54</xdr:row>
      <xdr:rowOff>123825</xdr:rowOff>
    </xdr:to>
    <xdr:pic macro="[5]!DesignIconClicked">
      <xdr:nvPicPr>
        <xdr:cNvPr id="9566" name="BExAXUPB2LT28LZT8XLL27PNJ2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55</xdr:row>
      <xdr:rowOff>9525</xdr:rowOff>
    </xdr:from>
    <xdr:to>
      <xdr:col>0</xdr:col>
      <xdr:colOff>209550</xdr:colOff>
      <xdr:row>55</xdr:row>
      <xdr:rowOff>133350</xdr:rowOff>
    </xdr:to>
    <xdr:pic macro="[5]!DesignIconClicked">
      <xdr:nvPicPr>
        <xdr:cNvPr id="9567" name="BEx3BWG4XI0MG993TWZ0HEXVLEL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73164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56</xdr:row>
      <xdr:rowOff>0</xdr:rowOff>
    </xdr:from>
    <xdr:to>
      <xdr:col>0</xdr:col>
      <xdr:colOff>247650</xdr:colOff>
      <xdr:row>56</xdr:row>
      <xdr:rowOff>123825</xdr:rowOff>
    </xdr:to>
    <xdr:pic macro="[5]!DesignIconClicked">
      <xdr:nvPicPr>
        <xdr:cNvPr id="9568" name="BEx7GS59NDDUEBFVV1ZH03F4NFZ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7506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57</xdr:row>
      <xdr:rowOff>0</xdr:rowOff>
    </xdr:from>
    <xdr:to>
      <xdr:col>0</xdr:col>
      <xdr:colOff>285750</xdr:colOff>
      <xdr:row>57</xdr:row>
      <xdr:rowOff>123825</xdr:rowOff>
    </xdr:to>
    <xdr:pic macro="[5]!DesignIconClicked">
      <xdr:nvPicPr>
        <xdr:cNvPr id="9569" name="BEx1W9RW50RZ6UZN9KBZ4DOE00E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706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58</xdr:row>
      <xdr:rowOff>0</xdr:rowOff>
    </xdr:from>
    <xdr:to>
      <xdr:col>0</xdr:col>
      <xdr:colOff>323850</xdr:colOff>
      <xdr:row>58</xdr:row>
      <xdr:rowOff>123825</xdr:rowOff>
    </xdr:to>
    <xdr:pic macro="[5]!DesignIconClicked">
      <xdr:nvPicPr>
        <xdr:cNvPr id="9570" name="BExKKLRLEI60T2S1GYXPUGUU0L0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9070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58</xdr:row>
      <xdr:rowOff>152400</xdr:rowOff>
    </xdr:from>
    <xdr:to>
      <xdr:col>0</xdr:col>
      <xdr:colOff>323850</xdr:colOff>
      <xdr:row>59</xdr:row>
      <xdr:rowOff>85725</xdr:rowOff>
    </xdr:to>
    <xdr:pic macro="[5]!DesignIconClicked">
      <xdr:nvPicPr>
        <xdr:cNvPr id="9571" name="BExZIJOKXLN8S7JIIQ465XII5E1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059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60</xdr:row>
      <xdr:rowOff>0</xdr:rowOff>
    </xdr:from>
    <xdr:to>
      <xdr:col>0</xdr:col>
      <xdr:colOff>323850</xdr:colOff>
      <xdr:row>60</xdr:row>
      <xdr:rowOff>123825</xdr:rowOff>
    </xdr:to>
    <xdr:pic macro="[5]!DesignIconClicked">
      <xdr:nvPicPr>
        <xdr:cNvPr id="9572" name="BEx9FSO1WIJ1Q9WOTK5NSYR8X2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307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61</xdr:row>
      <xdr:rowOff>0</xdr:rowOff>
    </xdr:from>
    <xdr:to>
      <xdr:col>0</xdr:col>
      <xdr:colOff>323850</xdr:colOff>
      <xdr:row>61</xdr:row>
      <xdr:rowOff>123825</xdr:rowOff>
    </xdr:to>
    <xdr:pic macro="[5]!DesignIconClicked">
      <xdr:nvPicPr>
        <xdr:cNvPr id="9573" name="BExD65ZMAC0Q7LJRGWJDRR9SQYF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688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62</xdr:row>
      <xdr:rowOff>0</xdr:rowOff>
    </xdr:from>
    <xdr:to>
      <xdr:col>0</xdr:col>
      <xdr:colOff>323850</xdr:colOff>
      <xdr:row>62</xdr:row>
      <xdr:rowOff>123825</xdr:rowOff>
    </xdr:to>
    <xdr:pic macro="[5]!DesignIconClicked">
      <xdr:nvPicPr>
        <xdr:cNvPr id="9574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878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64</xdr:row>
      <xdr:rowOff>9525</xdr:rowOff>
    </xdr:from>
    <xdr:to>
      <xdr:col>0</xdr:col>
      <xdr:colOff>285750</xdr:colOff>
      <xdr:row>64</xdr:row>
      <xdr:rowOff>133350</xdr:rowOff>
    </xdr:to>
    <xdr:pic macro="[5]!DesignIconClicked">
      <xdr:nvPicPr>
        <xdr:cNvPr id="9575" name="BExEPZK9MNWX9IVTHIKPW14R0JZ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840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65</xdr:row>
      <xdr:rowOff>0</xdr:rowOff>
    </xdr:from>
    <xdr:to>
      <xdr:col>0</xdr:col>
      <xdr:colOff>323850</xdr:colOff>
      <xdr:row>65</xdr:row>
      <xdr:rowOff>123825</xdr:rowOff>
    </xdr:to>
    <xdr:pic macro="[5]!DesignIconClicked">
      <xdr:nvPicPr>
        <xdr:cNvPr id="9576" name="BEx5J583UMF1HYCIVO6BRAVPQR5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031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66</xdr:row>
      <xdr:rowOff>0</xdr:rowOff>
    </xdr:from>
    <xdr:to>
      <xdr:col>0</xdr:col>
      <xdr:colOff>323850</xdr:colOff>
      <xdr:row>66</xdr:row>
      <xdr:rowOff>123825</xdr:rowOff>
    </xdr:to>
    <xdr:pic macro="[5]!DesignIconClicked">
      <xdr:nvPicPr>
        <xdr:cNvPr id="9577" name="BExZL4FWL3CPK12OKGH5B3YVW07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231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67</xdr:row>
      <xdr:rowOff>0</xdr:rowOff>
    </xdr:from>
    <xdr:to>
      <xdr:col>0</xdr:col>
      <xdr:colOff>285750</xdr:colOff>
      <xdr:row>67</xdr:row>
      <xdr:rowOff>123825</xdr:rowOff>
    </xdr:to>
    <xdr:pic macro="[5]!DesignIconClicked">
      <xdr:nvPicPr>
        <xdr:cNvPr id="9578" name="BExW3RJL6PAW2Z8NFQM93KUQSP5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431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72</xdr:row>
      <xdr:rowOff>0</xdr:rowOff>
    </xdr:from>
    <xdr:to>
      <xdr:col>0</xdr:col>
      <xdr:colOff>285750</xdr:colOff>
      <xdr:row>72</xdr:row>
      <xdr:rowOff>123825</xdr:rowOff>
    </xdr:to>
    <xdr:pic macro="[5]!DesignIconClicked">
      <xdr:nvPicPr>
        <xdr:cNvPr id="9579" name="BEx1HIK3PD9HCAVY01AB72GKFVD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164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73</xdr:row>
      <xdr:rowOff>9525</xdr:rowOff>
    </xdr:from>
    <xdr:to>
      <xdr:col>0</xdr:col>
      <xdr:colOff>323850</xdr:colOff>
      <xdr:row>73</xdr:row>
      <xdr:rowOff>133350</xdr:rowOff>
    </xdr:to>
    <xdr:pic macro="[5]!DesignIconClicked">
      <xdr:nvPicPr>
        <xdr:cNvPr id="9580" name="BEx1ITB4MJFZZISHTDFL0EO4A5Y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74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74</xdr:row>
      <xdr:rowOff>0</xdr:rowOff>
    </xdr:from>
    <xdr:to>
      <xdr:col>0</xdr:col>
      <xdr:colOff>323850</xdr:colOff>
      <xdr:row>74</xdr:row>
      <xdr:rowOff>123825</xdr:rowOff>
    </xdr:to>
    <xdr:pic macro="[5]!DesignIconClicked">
      <xdr:nvPicPr>
        <xdr:cNvPr id="9581" name="BExS1XOSUCFW5IAYMJ5B5Q4N2Y6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564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75</xdr:row>
      <xdr:rowOff>0</xdr:rowOff>
    </xdr:from>
    <xdr:to>
      <xdr:col>0</xdr:col>
      <xdr:colOff>285750</xdr:colOff>
      <xdr:row>75</xdr:row>
      <xdr:rowOff>123825</xdr:rowOff>
    </xdr:to>
    <xdr:pic macro="[5]!DesignIconClicked">
      <xdr:nvPicPr>
        <xdr:cNvPr id="9582" name="BExXYQPPZGX4TELCNG0RBW92R0F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764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76</xdr:row>
      <xdr:rowOff>0</xdr:rowOff>
    </xdr:from>
    <xdr:to>
      <xdr:col>0</xdr:col>
      <xdr:colOff>323850</xdr:colOff>
      <xdr:row>76</xdr:row>
      <xdr:rowOff>57150</xdr:rowOff>
    </xdr:to>
    <xdr:pic macro="[5]!DesignIconClicked">
      <xdr:nvPicPr>
        <xdr:cNvPr id="9583" name="BEx5I59CY8ALG4PQLGJ0GX1KT3R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9647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76</xdr:row>
      <xdr:rowOff>76200</xdr:rowOff>
    </xdr:from>
    <xdr:to>
      <xdr:col>0</xdr:col>
      <xdr:colOff>323850</xdr:colOff>
      <xdr:row>76</xdr:row>
      <xdr:rowOff>133350</xdr:rowOff>
    </xdr:to>
    <xdr:pic macro="[5]!DesignIconClicked">
      <xdr:nvPicPr>
        <xdr:cNvPr id="9584" name="BEx3U5U7BYPW7TWQ0XEZZKKTB5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040975"/>
          <a:ext cx="12382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78</xdr:row>
      <xdr:rowOff>0</xdr:rowOff>
    </xdr:from>
    <xdr:to>
      <xdr:col>0</xdr:col>
      <xdr:colOff>323850</xdr:colOff>
      <xdr:row>78</xdr:row>
      <xdr:rowOff>123825</xdr:rowOff>
    </xdr:to>
    <xdr:pic macro="[5]!DesignIconClicked">
      <xdr:nvPicPr>
        <xdr:cNvPr id="9585" name="BExCWJOPZMRY0L9GV9OF9ICHEE8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536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79</xdr:row>
      <xdr:rowOff>0</xdr:rowOff>
    </xdr:from>
    <xdr:to>
      <xdr:col>0</xdr:col>
      <xdr:colOff>285750</xdr:colOff>
      <xdr:row>79</xdr:row>
      <xdr:rowOff>123825</xdr:rowOff>
    </xdr:to>
    <xdr:pic macro="[5]!DesignIconClicked">
      <xdr:nvPicPr>
        <xdr:cNvPr id="9586" name="BExU4VTFS73YPHAOJOL4QXGQJFU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917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80</xdr:row>
      <xdr:rowOff>0</xdr:rowOff>
    </xdr:from>
    <xdr:to>
      <xdr:col>0</xdr:col>
      <xdr:colOff>323850</xdr:colOff>
      <xdr:row>80</xdr:row>
      <xdr:rowOff>123825</xdr:rowOff>
    </xdr:to>
    <xdr:pic macro="[5]!DesignIconClicked">
      <xdr:nvPicPr>
        <xdr:cNvPr id="9587" name="BExKK90YYDDM97MT5SBH408Z2MC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117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81</xdr:row>
      <xdr:rowOff>9525</xdr:rowOff>
    </xdr:from>
    <xdr:to>
      <xdr:col>0</xdr:col>
      <xdr:colOff>323850</xdr:colOff>
      <xdr:row>81</xdr:row>
      <xdr:rowOff>133350</xdr:rowOff>
    </xdr:to>
    <xdr:pic macro="[5]!DesignIconClicked">
      <xdr:nvPicPr>
        <xdr:cNvPr id="9588" name="BExEYU54YB5JHAY46VF7RL4IE4L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3268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82</xdr:row>
      <xdr:rowOff>0</xdr:rowOff>
    </xdr:from>
    <xdr:to>
      <xdr:col>0</xdr:col>
      <xdr:colOff>323850</xdr:colOff>
      <xdr:row>82</xdr:row>
      <xdr:rowOff>123825</xdr:rowOff>
    </xdr:to>
    <xdr:pic macro="[5]!DesignIconClicked">
      <xdr:nvPicPr>
        <xdr:cNvPr id="9589" name="BExCRZWFC65FE44YG817FP8MYQE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51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83</xdr:row>
      <xdr:rowOff>0</xdr:rowOff>
    </xdr:from>
    <xdr:to>
      <xdr:col>0</xdr:col>
      <xdr:colOff>323850</xdr:colOff>
      <xdr:row>83</xdr:row>
      <xdr:rowOff>123825</xdr:rowOff>
    </xdr:to>
    <xdr:pic macro="[5]!DesignIconClicked">
      <xdr:nvPicPr>
        <xdr:cNvPr id="9590" name="BExQ8W1Q9YP6ODYSRC0PHS5H8K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84</xdr:row>
      <xdr:rowOff>0</xdr:rowOff>
    </xdr:from>
    <xdr:to>
      <xdr:col>0</xdr:col>
      <xdr:colOff>285750</xdr:colOff>
      <xdr:row>84</xdr:row>
      <xdr:rowOff>123825</xdr:rowOff>
    </xdr:to>
    <xdr:pic macro="[5]!DesignIconClicked">
      <xdr:nvPicPr>
        <xdr:cNvPr id="9591" name="BExQHR2WIFC6FU2HIALU9IILGP8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90</xdr:row>
      <xdr:rowOff>0</xdr:rowOff>
    </xdr:from>
    <xdr:to>
      <xdr:col>0</xdr:col>
      <xdr:colOff>247650</xdr:colOff>
      <xdr:row>90</xdr:row>
      <xdr:rowOff>123825</xdr:rowOff>
    </xdr:to>
    <xdr:pic macro="[5]!DesignIconClicked">
      <xdr:nvPicPr>
        <xdr:cNvPr id="9592" name="BEx9EUY9FIJVM8FQTK9K2H1IZSC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985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91</xdr:row>
      <xdr:rowOff>0</xdr:rowOff>
    </xdr:from>
    <xdr:to>
      <xdr:col>0</xdr:col>
      <xdr:colOff>285750</xdr:colOff>
      <xdr:row>91</xdr:row>
      <xdr:rowOff>123825</xdr:rowOff>
    </xdr:to>
    <xdr:pic macro="[5]!DesignIconClicked">
      <xdr:nvPicPr>
        <xdr:cNvPr id="9593" name="BExO8HH9HKMBP6OPZ1HXYHAEO7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498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92</xdr:row>
      <xdr:rowOff>0</xdr:rowOff>
    </xdr:from>
    <xdr:to>
      <xdr:col>0</xdr:col>
      <xdr:colOff>323850</xdr:colOff>
      <xdr:row>92</xdr:row>
      <xdr:rowOff>123825</xdr:rowOff>
    </xdr:to>
    <xdr:pic macro="[5]!DesignIconClicked">
      <xdr:nvPicPr>
        <xdr:cNvPr id="9594" name="BExB07O29PBQL85ZP5CNTKFV7KT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698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92</xdr:row>
      <xdr:rowOff>152400</xdr:rowOff>
    </xdr:from>
    <xdr:to>
      <xdr:col>0</xdr:col>
      <xdr:colOff>323850</xdr:colOff>
      <xdr:row>93</xdr:row>
      <xdr:rowOff>85725</xdr:rowOff>
    </xdr:to>
    <xdr:pic macro="[5]!DesignIconClicked">
      <xdr:nvPicPr>
        <xdr:cNvPr id="9595" name="BEx98TDB2FVISGB4HGT9O880PTC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6850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94</xdr:row>
      <xdr:rowOff>0</xdr:rowOff>
    </xdr:from>
    <xdr:to>
      <xdr:col>0</xdr:col>
      <xdr:colOff>285750</xdr:colOff>
      <xdr:row>94</xdr:row>
      <xdr:rowOff>123825</xdr:rowOff>
    </xdr:to>
    <xdr:pic macro="[5]!DesignIconClicked">
      <xdr:nvPicPr>
        <xdr:cNvPr id="9596" name="BEx00QZ8WKEJ493W6946JHNQ1JV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09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95</xdr:row>
      <xdr:rowOff>0</xdr:rowOff>
    </xdr:from>
    <xdr:to>
      <xdr:col>0</xdr:col>
      <xdr:colOff>323850</xdr:colOff>
      <xdr:row>95</xdr:row>
      <xdr:rowOff>123825</xdr:rowOff>
    </xdr:to>
    <xdr:pic macro="[5]!DesignIconClicked">
      <xdr:nvPicPr>
        <xdr:cNvPr id="9597" name="BEx5NB83CZ8ITJGNIYJ0E6XTOXK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298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96</xdr:row>
      <xdr:rowOff>0</xdr:rowOff>
    </xdr:from>
    <xdr:to>
      <xdr:col>0</xdr:col>
      <xdr:colOff>285750</xdr:colOff>
      <xdr:row>96</xdr:row>
      <xdr:rowOff>123825</xdr:rowOff>
    </xdr:to>
    <xdr:pic macro="[5]!DesignIconClicked">
      <xdr:nvPicPr>
        <xdr:cNvPr id="9598" name="BExVSUN0BLRSZRIW6L3FXPRDUI6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498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599" name="BEx1NSOIAQ5HPYTWJ6LAS2AXXB8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0" name="BExZJGNGO59NJODZXJKVJFRKIVL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1" name="BExKEP4M4KO9UT59FVMJ1YSTIWA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02" name="BExQ5TWS1QV2B092H9AC9NAO155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03" name="BExU9ZZ9J3HO8DPTJFE0UI7QVNX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4" name="BExMFLOM9EGUWQTQVIFDEJ9AEE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5" name="BExDAF4Y7LJXV13J6UJMMR1ARXG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6" name="BEx1WX5G1H6X81NTJ0UUJO730JB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7" name="BEx1P64RH2896YM9Q5ZVGSYH9IS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8" name="BExTWMYOI04YVBKFQK3UMPQ7UQE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09" name="BEx1XGXJZW9PTG2M9T0YWWKNM37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0" name="BExCULUWK1GBLRPADJKWQ8WRN7H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1" name="BExGLH0D0MD0X849E4UJ6TL6221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2" name="BExKSORVPLJOP221R4DTMSUIECF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3" name="BExS9IV6HRNJXZRS82BUR89TAV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4" name="BExTVAEXMCGN0CATRCWBI9ASXLT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5" name="BExMD2VJ3BWYTLMXETLHXFQ22O5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16" name="BExKVL2IDZPM213MIUX6O2DQWK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17" name="BExQIV8J2S9O6GW6YVWJMASG41J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18" name="BExJ0AYN7E3HRKOHT9KKX0AZ0GT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19" name="BExMD0BRHODSM34W1KSAVWOI7SY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0" name="BExIZ6NJ6XI5MBWGVS3P7T0DD0D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1" name="BExXV05AI1O0348HAVG3N9GDBL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2" name="BExAWK3K7UJXXZ2OR5BI9QU3B9J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3" name="BExCRBMHMLKZF9PVY03O284EKK4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4" name="BExMGI78A8AFR7GYHHG2Y37EUXT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5" name="BExQF4DJ5V61BP19ULJTUW923HC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6" name="BEx1G1YMHF5MSYH5H4H22GTHFRW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7" name="BExSF028NK5CA9OVSF1EKBIQBUE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8" name="BExD4UHIOV9IPTXME2NQN5TVCG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29" name="BExF4K1B226TMZ43AS64LWJBUFB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0" name="BEx3G0CMZPHTY8Y7BLCUGK65CB7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1" name="BEx3IX8SXVS004RT5SW2JF0WTRH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2" name="BEx5BQN3QCSVX2TCGMZ5FDJTS4S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633" name="BEx3J4AB849Z87O9MEP18LUATR0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34" name="BExQJTEJTFT64SDRYLHWOX4UG5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5" name="BExSAHMKWY7DTOSGT9YQBEED0BN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6" name="BExCXZ8JI8NDA8SDAX6P9SZDG0S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37" name="BEx3S9YEX491A4R3GAOAQUFJL5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8" name="BEx3SUMX8A3TWSCRTWSGIMT2IO2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39" name="BExMAWCNZAB4YKOECTSXHHFI2GZ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0" name="BExY1K0GT1V3N7NXJ4R18377MDF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1" name="BEx1HT77GC0BHKBDLXHHBXP2MCW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2" name="BEx5HG8HUY47PQT88ABH03M6NS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3" name="BEx9C2UQ6N8NPYSVKO4Q3LKAW2Y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4" name="BEx1JC6UX6FMWK73UUHG74TSYUW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45" name="BExKW6NDFFPVLUXPQNNJ964RJFL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46" name="BEx1PTIEM0N851XUG78STJJQZ66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47" name="BExIUB0XO0B1R5AKLOT9JZKFW1W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48" name="BExO5JTXXHIPXZCZJKCRIZ6IV47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49" name="BExIOFAHPGFKJSPDL8S4DMZF4Y2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0" name="BExY5KGVT12GAN1GOQFYOQJ2I6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1" name="BExQG6L4PH9I0PI6FHZUIRE4D3Q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2" name="BExZZI0TYVO66WNYFPAYPPOPMLS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3" name="BExY3I51IETO19X5OZVXJZH5GW8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4" name="BExXQ8PYIGMB5S7SSSONCM4SOIP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5" name="BExIYQGWIK2CQEF7GGQP2EJVW8Z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6" name="BExU8X0S4LUQLHUVLCTNZK9JD1L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57" name="BExEYV6UZ2SC80K7YT8K2T5QA0P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8" name="BExSDZ7AG5T078BV84RRXECOBDG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59" name="BExESDVHIQWE2CU0YXQCDYM0SU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0" name="BExD2NYTMAFNQDS89VWXPCY6U4M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1" name="BExXXUCG03UZ13HWJ2J2CNFWCEH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2" name="BExIKF4YHG7KHMQ86HVCLJ0I35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3" name="BExKFISRVWODY5TAG1STG7KF7GU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4" name="BExY3EZTN77NTWZ305268UN2A0T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65" name="BExZNL5HVFTC7LVP7U03Q8KIMAF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66" name="BEx91ZGSDBVTYOUORFDYYR41DIJ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67" name="BExU6ZSJFHW06V2DG8ZGA8J814F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68" name="BExVRF8NKRXNVE578DO634A1GT7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69" name="BExXXEB9P7T8H0H16Q4SG2XTYEU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70" name="BEx1HN1ZHPGB8O1O5UHG8JMO9B1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671" name="BExMNVQE54LPEVRLWATBUGH7O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72" name="BExS638J5RFJJAEN88K9SQVM7ZD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73" name="BExW6WOKBKGP0M96QWRPVPG48BJ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674" name="BExXWTXJJTRSQH025U22OZ1E4QC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75" name="BExKNAPSZZNO9N7FUC5W9FC49AA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676" name="BExMHHKDYUVT9EK15OCCG8SI0CC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677" name="BExQ84S0XBVNV88CMH1GDKEJEV7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78" name="BExXWAG8056M9JBKBHES7QBJND0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79" name="BExVZK1MVSE6H5PFJWP9FH1YO41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80" name="BExZS4XSPXYW3LQOQQRY20RGCUD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681" name="BExO5IXKYO4LRJ2WZYFX80WTMU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82" name="BEx1R50GJIYQXI2F1DWD0VWDK7I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683" name="BExO9F6YAX7ZM597MNUNR7YMXZM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684" name="BExMFX2NNW5ES67EXNL1MIQD4Z9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685" name="BEx5MH94LKORQ4ADF3PS6E1KAEM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686" name="BExCTF5GF6TOL98TQTKB44MR3R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687" name="BExQ2K4L5FAQEK4GIFXE6M2PFMDK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88" name="BExITXOVWGEJ90BULVURYGANYLF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89" name="BExU91D5FAFORMPWUVF15QL7R2G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90" name="BEx3HPC78V7IHGQ1WPK4ALZIHHC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91" name="BExF35OMFIAITE8LSONKNOU1KXM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92" name="BExB20EG21Z0372J287G269158N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93" name="BExXTBLXPY8GPXT26PNUMGDHAI9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94" name="BExOC0JQ6OY6AD9U4FHVJ2K0625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95" name="BExSDRES753FZ5MR8U52UFGAB9W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96" name="BExKS7JDES34J6O1DFIICISAGD2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97" name="BExD2OPU00CPL3XJ3LVC6MRND5N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698" name="BExITNYAVQUWQCEF7VXHXB9G8RF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699" name="BExCTN3C70NU3J6IXVXXM46PF0D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00" name="BExSAAAC4OMBPAYK6FLB9F365S8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01" name="BExIXCKIRJHGOF6IMH7W1KS2VB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2" name="BExQC5J46URJSW16PCJFFQE2BS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3" name="BEx9IT0ELW38Z5YSGWK2YYPRAD8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4" name="BExGMVICMG3DK6WA675DSRKG4TY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5" name="BExQCI9L605KCX5LUYPAICM03QB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6" name="BExU7IDCE9DTZ4JOAF7GD84431Y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7" name="BExBDZ2JYJTJJ477T74EM2NEW2X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08" name="BExY03PQ2PFEC1X03W68V767YIB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09" name="BExUCRHEUH5IKCZ5QRE3Q358IDC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0" name="BExD1UW77AOCOB831I78IIPE0S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1" name="BExJ095WN542LYJISQS23PZQCIV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2" name="BExZMLSACO1OQHNK6W9YQOJV0GX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3" name="BEx7HW04LSU2FLZFSQHFUY3LILX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14" name="BExXWJQOHGB2DEDNIPLHX7EEQ1N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5" name="BExINY25D49O34J3D2IDRNOX6KW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6" name="BEx5BPL9TKN80T721MGP2TYVOG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7" name="BExIOW7ZBUH0OK961IZ7LK31CKO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8" name="BExUAPB28PIVXYQGCKPWG52MOOK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19" name="BEx9DX8J0CAT2DIDYIIGS5BUKR7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720" name="BExOEYHSCFP47U1KBOHUPWQD2P6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21" name="BExD6PRQQW0UV0WDP8185D8ISSC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22" name="BEx3LPXYUD8EQ464GKBXDJZW9UU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23" name="BEx00S0XBIEXDK0K8Y4CBW4GGC0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24" name="BExKD8J34M6TE292IPHJIUAVT40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25" name="BExH3HUZSZQOO5DCMFQS89OHR7K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26" name="BExQBMCJJ2HA9WYGOK6P7AV8115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27" name="BExH2508W5XUDWBS8O4GLRCEVPD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28" name="BExMP6HJLKIZAR0FZHT7X1BHQMC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29" name="BExXT4PSP4TOA71U9SY77T80R4O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30" name="BExEPIH8FZZD2MXYSRR0W3GFBF5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731" name="BEx9D52ASBZK9P2SH2DISBOHTU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32" name="BExXXGK3IZR3GIQVF4O0P63ZRB9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33" name="BEx99SA8RNNKKFIAN3XYVPGEJ5K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734" name="BExCX065SK2Z2SP8JN3K1L705K3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735" name="BExMJLJCG9PBAD8FTBSVREQ9QRT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36" name="BExD3871A0VC59U0AOW1MKP7P1U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37" name="BExS2S3VFC1DJ6GL4HEMADWKGB3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38" name="BExSAXCY871R792EV1A4OL1MJYQ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39" name="BExCYCVEYTUAVCPEEY99COB2SDC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0" name="BExBE4RJO5WEUHKIYL7I1AWPW6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1" name="BEx3GBACFEJ7YXRH20XCRSNM1B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2" name="BEx3MSGDYJANI9B2Q99LTV51CM9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3" name="BExU5VXIKAN0585ILGRHHAMT5BY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4" name="BExOHHLOIKTDL30ZKRVIENE1WY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45" name="BExEQGN8J6K6V49DBDSLKHS9MYA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746" name="BEx5JZSHF3IE4X2N162HCMAVRPG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7" name="BExS08P5L81EBH1IECLYLMAHD16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8" name="BExF4SF8WQQMXU46O422YVK6JMW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49" name="BExU0NF6C6O0IJP8CPWRAFZT9P1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0" name="BExD9V21MJUVI5W5ULVT6G2YQGI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751" name="BEx5E65IXC1D7HHQ749A0KT7GJ7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2" name="BEx996PKEXPP9SZXV9V3BJ6J8T3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3" name="BExVUK86JMJWUPVO9UDROLNIND4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4" name="BEx3OGUEEXA2MZJ9H6GAXD43LR8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55" name="BEx7K69SZFQCNYP1MLSBKV5RKWJ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6" name="BEx3FHGU8Y696AFFJD3USAHHW0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7" name="BExMPCMOKM5SO5X3U7XHWPRBIKO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8" name="BExQ4DWUUW0GRAKAIX2AKTCCJLP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59" name="BExS68BWL7C5GUY19QVDE1ESMA4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60" name="BExZROGC400TFHU6L54LZZZG511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761" name="BExMGMJLEARFSSXVCQEL0MDJIR3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62" name="BExH0B2PV65JI37CZQULWHSMO4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763" name="BEx7FOFPL87CJKQWAHYSESNQ2C9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764" name="BExZN00WG319MO31J2SF1XAL03T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65" name="BEx5DNKK99J848876B1ZJ3HFGHN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66" name="BExW6Y12HOKHC4HCZ32YXRQXJ6E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67" name="BExS8CB065MAVTWBIPRTWM5EX6A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68" name="BEx3D4NJ7NHYF8R3EYY2PVD7IDM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69" name="BExEV3KRAE23DQKRTEUNYTJ3ORK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0" name="BExKFAEO0EDHAB3N3KXUMSTFNI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71" name="BExB350D6N2GCYIIRPZ731FBEZ8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2" name="BExGS2IQWXPXGVKOZCDYZ9QN988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3" name="BExVXHPZ1SC940AZPN3OH0UPCDL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4" name="BExIGNIR4N7NKTMPG6FT4DRM9W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5" name="BExZYLT101JM34XMTRGFBWVLMQI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6" name="BExEXAP2CWCSG43E54W9TO14QTP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7" name="BExH3GIGUABZURLCXV41FZI51Y8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78" name="BExBD3GAG3X00L3LF9BLM2S0YBR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779" name="BExZSPGTYNRQOBP2TY9Y36WOR3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80" name="BExZPS9T4K9D85VPIM49RAC6SBS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1" name="BExOJM0VBKAMENZA797I7UGB33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2" name="BExKOU0FQ1ZM543AIXPWBG24G37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3" name="BExW340NT595453WZ5XP86GQMID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4" name="BExY5BXBAV3ZWAIB3VTR6994EYZ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85" name="BEx1RG3J7SDM6559O7ETT48EEUI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6" name="BExKD58F2QZL5QXHWRZ33NR4E1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87" name="BExSFO6XSWTO9W8VB7R6I8H9G33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88" name="BExJ04YTSBDE3QE391L4E172804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89" name="BExQA91QPD1D1859LI8ZYP06LAY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90" name="BExKFBR5ERYBSGNW1CJONON165Z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791" name="BExS152HFSOUPCDE1XGS3PFRXUQS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792" name="BExF0XNZUO7HMC4JV159QF7I9HQ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93" name="BExY4HI7GN1ZATP09P4YY0PTK0E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94" name="BExXTX6TIA1JHD87TALIYGWVSSW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795" name="BExES1FRY9SBHRWTSYDRCD4U12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796" name="BEx9AHLVHIAQLWQZ7YCHEMWUT5U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797" name="BExQIMUF6F91CCYKYMZ7KLIVARH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98" name="BEx3MTNJR8I22VGD25PJTEK2CDB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799" name="BExMCEWD58JXNFBAB40NBGC2EH4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800" name="BEx1F3HS384B04TSHU0SNGBOWGS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801" name="BExZPR2N9Q8QV56C174TZ2RU9S4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02" name="BExKUKI7D3DWDC2ODXTVALWSGYW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803" name="BEx79EWW8WYDY12K2U91J7PI7P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804" name="BEx7758U2909DY7K2CIT39L46MN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805" name="BEx1VFNKL9KQ3NTH89ZRHCD0HSU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806" name="BExVVE76I4S3MO2N8KZIHHXNBCP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07" name="BExVSVZN0RZXE2BGPDW3C67NQ8F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08" name="BExTVGER0CRXC145GI36BXLK1MM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09" name="BExMBX7ROIPKLSEGXB8CD5GWL5S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0" name="BExB5ZNQST3SQHLTLIFWGXPS391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1" name="BExD3CZMB5OUL4HWRPUDWJGOYDI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2" name="BEx3K2R3RJ2HZWVG0SUCNU3AWJH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813" name="BExOGUOCWUBXSKU42F7QMJOCN0X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814" name="BEx96P3GD9NB7Z6V3A5AQEUVKY3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5" name="BExF0FOM69EUSY9HRGOI29JN38J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6" name="BExOK7AWQYJE8BDEK2A0XFOCMBM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7" name="BExMKZVZS3E9AY3Y65UAV7A6RKZ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18" name="BExB2MFKP5S2U518FFV54V2T6DQ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819" name="BEx7IYD6T4Z4K0P7MN28168BEII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820" name="BEx788CRHUH4N1LPESZPKLB23CJ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1" name="BExKGQPDMF1BOTZRQ5YMLHNZB5R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2" name="BExVWNG7P165IGQL4MHPUYCNCYI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3" name="BEx1I7QG2ZQJ76LAQ32N43W367Y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4" name="BExZY1Q4ZH7V1IBCD242NLFGV9Y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825" name="BEx01W1B46ND9OKH5RCYRKITMSVN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26" name="BExXR5ZGRE8LT2UBHU7GW0V1X0Y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7" name="BExIZBQYJPSOZ8BG4M8TRSJR0HO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8" name="BEx01H7BJHQHON4YCC307D2EODM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29" name="BExD3P4QKK2NM0V3TTIILE6AXCR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30" name="BExD24HG5WFXKVJX23T2XPRAEWA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31" name="BExB1H2LTCNXB4ZOL9BYSPPZ3DZ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9832" name="BEx5CVJTGI5B5B5URXE6CC8WJO3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9833" name="BExS81YUZ8ESRFWRTSW8UYBW4I6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9834" name="BExD4V32NEDY8ZBTH8HRQOHAM82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9835" name="BExGRXKRY9U3APBTGA9KQE44KFP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9836" name="BExO5X0QMGZ0HO2EMVVKUPZ75S4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9837" name="BExGVOW3R03LQN33P4MGK3CU1RN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9838" name="BExMQCW7G60VJEUNQHRCP4XINXS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9839" name="BExEPZK8NO5TI25UQHHU8C1NZBI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9840" name="BExD0LCBN8YCXWFG9E1EQEFIUH6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9841" name="BExXXH5O3ACN092O1SK7RHISQRB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9842" name="BExVT60ZVY9KTIVQ56CPD3Y5KKA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9843" name="BExZKLK5945IAWWAPD6MUBA9NIY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44" name="BExDAS685R5YRMMR3C3E49CXS3A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45" name="BEx5ADSF6G54WC5WUAY4799S1UGO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46" name="BExIJ06QGF7TNI4KFY81AB0VOBR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47" name="BExQBAYOT370KZR50CE6V3YZBMA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48" name="BEx98SX219GIIWU4JVYVA89KDKC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49" name="BEx7MXBQ5N5L6VDBS5EP3YZNCZ9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9850" name="BExIRHKWWHRYT9MVWMV938V22AN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1" name="BExB5MMC4CA65TX607S6174RKR0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2" name="BEx90ZCPSP7G7VKWFBB407CPLAB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53" name="BExQ3HZV4G1IMWKAN0WPSLB6F9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4" name="BExEPXM1FHGEIHVCBCZSB0S81SV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5" name="BExXTXC4QIHW783PH5DP5621U5G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6" name="BExS0A1N0VOEW5W4G3RFRMUOKGJ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57" name="BExEV9VBJFZRB8C0NHOR5T7FGVZ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8" name="BExXO03Q098SBU8LB7SUVDY3XE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59" name="BExOM6S66ODXZZCQCSW0N7AVCIM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0" name="BExMNC3QSXTSLUXP9UNOV1OSPKN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9525</xdr:rowOff>
    </xdr:from>
    <xdr:to>
      <xdr:col>0</xdr:col>
      <xdr:colOff>285750</xdr:colOff>
      <xdr:row>5</xdr:row>
      <xdr:rowOff>133350</xdr:rowOff>
    </xdr:to>
    <xdr:pic macro="[5]!DesignIconClicked">
      <xdr:nvPicPr>
        <xdr:cNvPr id="9861" name="BExD0JOXUX9XR7VWV5VZN7WUEOD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2" name="BExOI7Z68H061Y7ESCGZQ8KP69T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3" name="BExZN1YY434MENFDLUV7BFJ93HG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4" name="BExMK2H0RLHKOR8TZFX3IPY5NW9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5" name="BEx3VKHNCC8OQ2Z35T1BM2LCD64Q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66" name="BExU9VMWGQGZIUKU46P8YG5M21W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9525</xdr:rowOff>
    </xdr:from>
    <xdr:to>
      <xdr:col>0</xdr:col>
      <xdr:colOff>285750</xdr:colOff>
      <xdr:row>5</xdr:row>
      <xdr:rowOff>133350</xdr:rowOff>
    </xdr:to>
    <xdr:pic macro="[5]!DesignIconClicked">
      <xdr:nvPicPr>
        <xdr:cNvPr id="9867" name="BExOHDEMJJKR3V4C7GH53TH097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</xdr:row>
      <xdr:rowOff>0</xdr:rowOff>
    </xdr:from>
    <xdr:to>
      <xdr:col>0</xdr:col>
      <xdr:colOff>285750</xdr:colOff>
      <xdr:row>6</xdr:row>
      <xdr:rowOff>123825</xdr:rowOff>
    </xdr:to>
    <xdr:pic macro="[5]!DesignIconClicked">
      <xdr:nvPicPr>
        <xdr:cNvPr id="9868" name="BExCSZEX1MG6ILD5QIVARUENP7AX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</xdr:row>
      <xdr:rowOff>0</xdr:rowOff>
    </xdr:from>
    <xdr:to>
      <xdr:col>0</xdr:col>
      <xdr:colOff>285750</xdr:colOff>
      <xdr:row>7</xdr:row>
      <xdr:rowOff>123825</xdr:rowOff>
    </xdr:to>
    <xdr:pic macro="[5]!DesignIconClicked">
      <xdr:nvPicPr>
        <xdr:cNvPr id="9869" name="BExOJA19JLT7ILMPMJK39N4E5JK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0</xdr:rowOff>
    </xdr:from>
    <xdr:to>
      <xdr:col>0</xdr:col>
      <xdr:colOff>285750</xdr:colOff>
      <xdr:row>8</xdr:row>
      <xdr:rowOff>123825</xdr:rowOff>
    </xdr:to>
    <xdr:pic macro="[5]!DesignIconClicked">
      <xdr:nvPicPr>
        <xdr:cNvPr id="9870" name="BEx7E4E8Q5X63GA2R0VAN5X6IAO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152400</xdr:rowOff>
    </xdr:from>
    <xdr:to>
      <xdr:col>0</xdr:col>
      <xdr:colOff>285750</xdr:colOff>
      <xdr:row>9</xdr:row>
      <xdr:rowOff>85725</xdr:rowOff>
    </xdr:to>
    <xdr:pic macro="[5]!DesignIconClicked">
      <xdr:nvPicPr>
        <xdr:cNvPr id="9871" name="BExU9E9384ZJW60VUVY0D5NFD0U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10</xdr:row>
      <xdr:rowOff>0</xdr:rowOff>
    </xdr:from>
    <xdr:to>
      <xdr:col>0</xdr:col>
      <xdr:colOff>285750</xdr:colOff>
      <xdr:row>10</xdr:row>
      <xdr:rowOff>123825</xdr:rowOff>
    </xdr:to>
    <xdr:pic macro="[5]!DesignIconClicked">
      <xdr:nvPicPr>
        <xdr:cNvPr id="9872" name="BEx3PD283KTXPEQFC1UCPH5DOBB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9525</xdr:rowOff>
    </xdr:from>
    <xdr:to>
      <xdr:col>0</xdr:col>
      <xdr:colOff>285750</xdr:colOff>
      <xdr:row>13</xdr:row>
      <xdr:rowOff>133350</xdr:rowOff>
    </xdr:to>
    <xdr:pic macro="[5]!DesignIconClicked">
      <xdr:nvPicPr>
        <xdr:cNvPr id="9873" name="BExKDXURS0YUUVFUIBVIVPT1OK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74" name="BExMBBHM5IHKFPDQJDDBH9AXBA2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15</xdr:row>
      <xdr:rowOff>0</xdr:rowOff>
    </xdr:from>
    <xdr:to>
      <xdr:col>0</xdr:col>
      <xdr:colOff>323850</xdr:colOff>
      <xdr:row>15</xdr:row>
      <xdr:rowOff>123825</xdr:rowOff>
    </xdr:to>
    <xdr:pic macro="[5]!DesignIconClicked">
      <xdr:nvPicPr>
        <xdr:cNvPr id="9875" name="BExRZDOCX1AQILLWVUJ9IDWOPEY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18</xdr:row>
      <xdr:rowOff>0</xdr:rowOff>
    </xdr:from>
    <xdr:to>
      <xdr:col>0</xdr:col>
      <xdr:colOff>323850</xdr:colOff>
      <xdr:row>18</xdr:row>
      <xdr:rowOff>123825</xdr:rowOff>
    </xdr:to>
    <xdr:pic macro="[5]!DesignIconClicked">
      <xdr:nvPicPr>
        <xdr:cNvPr id="9876" name="BExCYVAVF9PXA4R7N7LKKHBTLZO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18</xdr:row>
      <xdr:rowOff>152400</xdr:rowOff>
    </xdr:from>
    <xdr:to>
      <xdr:col>0</xdr:col>
      <xdr:colOff>323850</xdr:colOff>
      <xdr:row>19</xdr:row>
      <xdr:rowOff>85725</xdr:rowOff>
    </xdr:to>
    <xdr:pic macro="[5]!DesignIconClicked">
      <xdr:nvPicPr>
        <xdr:cNvPr id="9877" name="BEx3BW5D7AX3UPFK7JKDNTC1ZAE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78" name="BExY0R8MTUZKNMKOMX1ECKW7XI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79" name="BEx94YGKR3GGEKY074R3PINGCEF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80" name="BExQDSKNB7O9GI7B33WX13NC37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81" name="BExZMV89G423D42Z4SMBRW5U4GV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882" name="BExKQOE95AX8AFQXD7RRZVG3WK4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83" name="BEx3THV1TNSTPW2NISGVN31MRIK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84" name="BEx1HHT2IUD4W35E1619SK6PCWJ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885" name="BEx5IZOF42IJ9L58FFTPKM5R91R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886" name="BExW38YM8E5BZTOBGJQQJT1YR9T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887" name="BExY39QXS0UY1AS5VSHETGEPL5I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88" name="BEx95396WRP3LJTWPF1TSXAZDDE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89" name="BExY62WCBE3M7UL7OKY1JJT83G3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90" name="BExKDU98ZS9UI02N4C29RAUJAH5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91" name="BExZQSJBW26VH7DKDFN0H5NAD82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92" name="BEx5PLSJFQVJ2NPU74IDR0E8FSZ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893" name="BEx5C8MHTHLECJJQAH19UVOG1L0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9525</xdr:rowOff>
    </xdr:from>
    <xdr:to>
      <xdr:col>0</xdr:col>
      <xdr:colOff>285750</xdr:colOff>
      <xdr:row>5</xdr:row>
      <xdr:rowOff>133350</xdr:rowOff>
    </xdr:to>
    <xdr:pic macro="[5]!DesignIconClicked">
      <xdr:nvPicPr>
        <xdr:cNvPr id="9894" name="BExF6C6576UBA78628ZJN9E6W8G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895" name="BExZTDLAZNIAZNLRIDEGYO39WWD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</xdr:row>
      <xdr:rowOff>0</xdr:rowOff>
    </xdr:from>
    <xdr:to>
      <xdr:col>0</xdr:col>
      <xdr:colOff>285750</xdr:colOff>
      <xdr:row>6</xdr:row>
      <xdr:rowOff>123825</xdr:rowOff>
    </xdr:to>
    <xdr:pic macro="[5]!DesignIconClicked">
      <xdr:nvPicPr>
        <xdr:cNvPr id="9896" name="BExCZJQ5MITKJSJNZ62VN1BO4A5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</xdr:row>
      <xdr:rowOff>0</xdr:rowOff>
    </xdr:from>
    <xdr:to>
      <xdr:col>0</xdr:col>
      <xdr:colOff>285750</xdr:colOff>
      <xdr:row>7</xdr:row>
      <xdr:rowOff>123825</xdr:rowOff>
    </xdr:to>
    <xdr:pic macro="[5]!DesignIconClicked">
      <xdr:nvPicPr>
        <xdr:cNvPr id="9897" name="BExTYTSCPYLAUWULWZLZTWLMZRJ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0</xdr:rowOff>
    </xdr:from>
    <xdr:to>
      <xdr:col>0</xdr:col>
      <xdr:colOff>285750</xdr:colOff>
      <xdr:row>8</xdr:row>
      <xdr:rowOff>123825</xdr:rowOff>
    </xdr:to>
    <xdr:pic macro="[5]!DesignIconClicked">
      <xdr:nvPicPr>
        <xdr:cNvPr id="9898" name="BEx5CZ5B3KCTB727VWX01KE0ZV8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152400</xdr:rowOff>
    </xdr:from>
    <xdr:to>
      <xdr:col>0</xdr:col>
      <xdr:colOff>285750</xdr:colOff>
      <xdr:row>9</xdr:row>
      <xdr:rowOff>85725</xdr:rowOff>
    </xdr:to>
    <xdr:pic macro="[5]!DesignIconClicked">
      <xdr:nvPicPr>
        <xdr:cNvPr id="9899" name="BEx1M7QM9OPXT2NR5TJO5ITDP3R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10</xdr:row>
      <xdr:rowOff>0</xdr:rowOff>
    </xdr:from>
    <xdr:to>
      <xdr:col>0</xdr:col>
      <xdr:colOff>285750</xdr:colOff>
      <xdr:row>10</xdr:row>
      <xdr:rowOff>123825</xdr:rowOff>
    </xdr:to>
    <xdr:pic macro="[5]!DesignIconClicked">
      <xdr:nvPicPr>
        <xdr:cNvPr id="9900" name="BEx5LJZFYL2O5CKRCCEU3P5UQ5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9525</xdr:rowOff>
    </xdr:from>
    <xdr:to>
      <xdr:col>0</xdr:col>
      <xdr:colOff>285750</xdr:colOff>
      <xdr:row>13</xdr:row>
      <xdr:rowOff>133350</xdr:rowOff>
    </xdr:to>
    <xdr:pic macro="[5]!DesignIconClicked">
      <xdr:nvPicPr>
        <xdr:cNvPr id="9901" name="BExKN62OLATXHL62QD2GZC9O9BV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14</xdr:row>
      <xdr:rowOff>0</xdr:rowOff>
    </xdr:from>
    <xdr:to>
      <xdr:col>0</xdr:col>
      <xdr:colOff>285750</xdr:colOff>
      <xdr:row>14</xdr:row>
      <xdr:rowOff>123825</xdr:rowOff>
    </xdr:to>
    <xdr:pic macro="[5]!DesignIconClicked">
      <xdr:nvPicPr>
        <xdr:cNvPr id="9902" name="BExTW5L2A2UD71672800JJ4TZHM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15</xdr:row>
      <xdr:rowOff>0</xdr:rowOff>
    </xdr:from>
    <xdr:to>
      <xdr:col>0</xdr:col>
      <xdr:colOff>285750</xdr:colOff>
      <xdr:row>15</xdr:row>
      <xdr:rowOff>123825</xdr:rowOff>
    </xdr:to>
    <xdr:pic macro="[5]!DesignIconClicked">
      <xdr:nvPicPr>
        <xdr:cNvPr id="9903" name="BExXULBB8NVOOPEQFF3VFX8YUGD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9904" name="BExU44P1KDTGQADFG842EVK082W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18</xdr:row>
      <xdr:rowOff>0</xdr:rowOff>
    </xdr:from>
    <xdr:to>
      <xdr:col>0</xdr:col>
      <xdr:colOff>285750</xdr:colOff>
      <xdr:row>18</xdr:row>
      <xdr:rowOff>123825</xdr:rowOff>
    </xdr:to>
    <xdr:pic macro="[5]!DesignIconClicked">
      <xdr:nvPicPr>
        <xdr:cNvPr id="9905" name="BExVYX9N4OWT29L8HEU6OPEQ5S9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23</xdr:row>
      <xdr:rowOff>0</xdr:rowOff>
    </xdr:from>
    <xdr:to>
      <xdr:col>0</xdr:col>
      <xdr:colOff>285750</xdr:colOff>
      <xdr:row>23</xdr:row>
      <xdr:rowOff>123825</xdr:rowOff>
    </xdr:to>
    <xdr:pic macro="[5]!DesignIconClicked">
      <xdr:nvPicPr>
        <xdr:cNvPr id="9906" name="BExY2LX8BGTLBV9RCAVPLFA5Y2VP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24</xdr:row>
      <xdr:rowOff>0</xdr:rowOff>
    </xdr:from>
    <xdr:to>
      <xdr:col>0</xdr:col>
      <xdr:colOff>285750</xdr:colOff>
      <xdr:row>24</xdr:row>
      <xdr:rowOff>123825</xdr:rowOff>
    </xdr:to>
    <xdr:pic macro="[5]!DesignIconClicked">
      <xdr:nvPicPr>
        <xdr:cNvPr id="9907" name="BExCZGVQF7YMT9ETIGVY9UP86S9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07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25</xdr:row>
      <xdr:rowOff>0</xdr:rowOff>
    </xdr:from>
    <xdr:to>
      <xdr:col>0</xdr:col>
      <xdr:colOff>285750</xdr:colOff>
      <xdr:row>25</xdr:row>
      <xdr:rowOff>123825</xdr:rowOff>
    </xdr:to>
    <xdr:pic macro="[5]!DesignIconClicked">
      <xdr:nvPicPr>
        <xdr:cNvPr id="9908" name="BExD8SUGG5ZJKG7WSQT7FOONYZQ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26</xdr:row>
      <xdr:rowOff>9525</xdr:rowOff>
    </xdr:from>
    <xdr:to>
      <xdr:col>0</xdr:col>
      <xdr:colOff>247650</xdr:colOff>
      <xdr:row>26</xdr:row>
      <xdr:rowOff>133350</xdr:rowOff>
    </xdr:to>
    <xdr:pic macro="[5]!DesignIconClicked">
      <xdr:nvPicPr>
        <xdr:cNvPr id="9909" name="BExXV1NA1HMTU4AXTJEM5FKSK7S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86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31</xdr:row>
      <xdr:rowOff>0</xdr:rowOff>
    </xdr:from>
    <xdr:to>
      <xdr:col>0</xdr:col>
      <xdr:colOff>323850</xdr:colOff>
      <xdr:row>31</xdr:row>
      <xdr:rowOff>123825</xdr:rowOff>
    </xdr:to>
    <xdr:pic macro="[5]!DesignIconClicked">
      <xdr:nvPicPr>
        <xdr:cNvPr id="9910" name="BExIWNE5S5ICBM631EQA7HYQS65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9911" name="BExIMC7QHCBV9RPB8YVZ4V85HZ1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9912" name="BExW83OTVUQYD7BF4L9HV0XD1BC3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913" name="BExDBBI7DAY3XW8ISG0GWS3RBQB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9914" name="BEx79KLPVZTMNZ6HOR3AB6F9AOM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31</xdr:row>
      <xdr:rowOff>152400</xdr:rowOff>
    </xdr:from>
    <xdr:to>
      <xdr:col>0</xdr:col>
      <xdr:colOff>323850</xdr:colOff>
      <xdr:row>32</xdr:row>
      <xdr:rowOff>85725</xdr:rowOff>
    </xdr:to>
    <xdr:pic macro="[5]!DesignIconClicked">
      <xdr:nvPicPr>
        <xdr:cNvPr id="9915" name="BExZLDFKT7PQLUVBC4UFO70U9EL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15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33</xdr:row>
      <xdr:rowOff>0</xdr:rowOff>
    </xdr:from>
    <xdr:to>
      <xdr:col>0</xdr:col>
      <xdr:colOff>285750</xdr:colOff>
      <xdr:row>33</xdr:row>
      <xdr:rowOff>123825</xdr:rowOff>
    </xdr:to>
    <xdr:pic macro="[5]!DesignIconClicked">
      <xdr:nvPicPr>
        <xdr:cNvPr id="9916" name="BEx749P2BVG2RL5NL3PPVWGV7QG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11</xdr:row>
      <xdr:rowOff>0</xdr:rowOff>
    </xdr:from>
    <xdr:to>
      <xdr:col>0</xdr:col>
      <xdr:colOff>209550</xdr:colOff>
      <xdr:row>11</xdr:row>
      <xdr:rowOff>123825</xdr:rowOff>
    </xdr:to>
    <xdr:pic macro="[5]!DesignIconClicked">
      <xdr:nvPicPr>
        <xdr:cNvPr id="9917" name="BExKMBNF9O27V0ABIGUBJ689TMH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34</xdr:row>
      <xdr:rowOff>0</xdr:rowOff>
    </xdr:from>
    <xdr:to>
      <xdr:col>0</xdr:col>
      <xdr:colOff>247650</xdr:colOff>
      <xdr:row>34</xdr:row>
      <xdr:rowOff>123825</xdr:rowOff>
    </xdr:to>
    <xdr:pic macro="[5]!DesignIconClicked">
      <xdr:nvPicPr>
        <xdr:cNvPr id="9918" name="BExILPW03DFUMT5DDIPDMUVM8BW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35</xdr:row>
      <xdr:rowOff>0</xdr:rowOff>
    </xdr:from>
    <xdr:to>
      <xdr:col>0</xdr:col>
      <xdr:colOff>171450</xdr:colOff>
      <xdr:row>35</xdr:row>
      <xdr:rowOff>123825</xdr:rowOff>
    </xdr:to>
    <xdr:pic macro="[5]!DesignIconClicked">
      <xdr:nvPicPr>
        <xdr:cNvPr id="9919" name="BExZNH989085W1VKCK5MZEF7IRV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12</xdr:row>
      <xdr:rowOff>0</xdr:rowOff>
    </xdr:from>
    <xdr:to>
      <xdr:col>0</xdr:col>
      <xdr:colOff>247650</xdr:colOff>
      <xdr:row>12</xdr:row>
      <xdr:rowOff>123825</xdr:rowOff>
    </xdr:to>
    <xdr:pic macro="[5]!DesignIconClicked">
      <xdr:nvPicPr>
        <xdr:cNvPr id="9920" name="BExOCJVQ4P6XA6HLM4FTM2ZH36J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18</xdr:row>
      <xdr:rowOff>152400</xdr:rowOff>
    </xdr:from>
    <xdr:to>
      <xdr:col>0</xdr:col>
      <xdr:colOff>247650</xdr:colOff>
      <xdr:row>19</xdr:row>
      <xdr:rowOff>85725</xdr:rowOff>
    </xdr:to>
    <xdr:pic macro="[5]!DesignIconClicked">
      <xdr:nvPicPr>
        <xdr:cNvPr id="9921" name="BExMFNBWKV1X4WHR8LJEP5UQ6U4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27</xdr:row>
      <xdr:rowOff>0</xdr:rowOff>
    </xdr:from>
    <xdr:to>
      <xdr:col>0</xdr:col>
      <xdr:colOff>247650</xdr:colOff>
      <xdr:row>27</xdr:row>
      <xdr:rowOff>123825</xdr:rowOff>
    </xdr:to>
    <xdr:pic macro="[5]!DesignIconClicked">
      <xdr:nvPicPr>
        <xdr:cNvPr id="9922" name="BExW7VAPAQNTAOOPKYQ3GZQKNAC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30</xdr:row>
      <xdr:rowOff>0</xdr:rowOff>
    </xdr:from>
    <xdr:to>
      <xdr:col>0</xdr:col>
      <xdr:colOff>285750</xdr:colOff>
      <xdr:row>30</xdr:row>
      <xdr:rowOff>123825</xdr:rowOff>
    </xdr:to>
    <xdr:pic macro="[5]!DesignIconClicked">
      <xdr:nvPicPr>
        <xdr:cNvPr id="9923" name="BEx1YNHQ78NRNJA8JOA6S0DMYVX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01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96</xdr:row>
      <xdr:rowOff>0</xdr:rowOff>
    </xdr:from>
    <xdr:to>
      <xdr:col>0</xdr:col>
      <xdr:colOff>323850</xdr:colOff>
      <xdr:row>96</xdr:row>
      <xdr:rowOff>123825</xdr:rowOff>
    </xdr:to>
    <xdr:pic macro="[5]!DesignIconClicked">
      <xdr:nvPicPr>
        <xdr:cNvPr id="9924" name="BExKTKE42UYIF6AVIBDC9RO3W13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498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95</xdr:row>
      <xdr:rowOff>0</xdr:rowOff>
    </xdr:from>
    <xdr:to>
      <xdr:col>0</xdr:col>
      <xdr:colOff>323850</xdr:colOff>
      <xdr:row>95</xdr:row>
      <xdr:rowOff>123825</xdr:rowOff>
    </xdr:to>
    <xdr:pic macro="[5]!DesignIconClicked">
      <xdr:nvPicPr>
        <xdr:cNvPr id="9925" name="BExXRNYTK0I6LFW8R3P98RYWOG9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298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94</xdr:row>
      <xdr:rowOff>0</xdr:rowOff>
    </xdr:from>
    <xdr:to>
      <xdr:col>0</xdr:col>
      <xdr:colOff>323850</xdr:colOff>
      <xdr:row>94</xdr:row>
      <xdr:rowOff>123825</xdr:rowOff>
    </xdr:to>
    <xdr:pic macro="[5]!DesignIconClicked">
      <xdr:nvPicPr>
        <xdr:cNvPr id="9926" name="BExETUGZKKE0DVBX6QNYKG0C21J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098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88</xdr:row>
      <xdr:rowOff>0</xdr:rowOff>
    </xdr:from>
    <xdr:to>
      <xdr:col>0</xdr:col>
      <xdr:colOff>323850</xdr:colOff>
      <xdr:row>88</xdr:row>
      <xdr:rowOff>123825</xdr:rowOff>
    </xdr:to>
    <xdr:pic macro="[5]!DesignIconClicked">
      <xdr:nvPicPr>
        <xdr:cNvPr id="9927" name="BExQ5MF1RO5BLV4SE8VCGTUMWHX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898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84</xdr:row>
      <xdr:rowOff>0</xdr:rowOff>
    </xdr:from>
    <xdr:to>
      <xdr:col>0</xdr:col>
      <xdr:colOff>323850</xdr:colOff>
      <xdr:row>84</xdr:row>
      <xdr:rowOff>123825</xdr:rowOff>
    </xdr:to>
    <xdr:pic macro="[5]!DesignIconClicked">
      <xdr:nvPicPr>
        <xdr:cNvPr id="9928" name="BEx1IAVMQOCHR0DNZLNN6YTPBCD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917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83</xdr:row>
      <xdr:rowOff>0</xdr:rowOff>
    </xdr:from>
    <xdr:to>
      <xdr:col>0</xdr:col>
      <xdr:colOff>323850</xdr:colOff>
      <xdr:row>83</xdr:row>
      <xdr:rowOff>123825</xdr:rowOff>
    </xdr:to>
    <xdr:pic macro="[5]!DesignIconClicked">
      <xdr:nvPicPr>
        <xdr:cNvPr id="9929" name="BExVU6FVISC13PQ3JL5KH6Q8YOH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4717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74</xdr:row>
      <xdr:rowOff>0</xdr:rowOff>
    </xdr:from>
    <xdr:to>
      <xdr:col>0</xdr:col>
      <xdr:colOff>323850</xdr:colOff>
      <xdr:row>74</xdr:row>
      <xdr:rowOff>123825</xdr:rowOff>
    </xdr:to>
    <xdr:pic macro="[5]!DesignIconClicked">
      <xdr:nvPicPr>
        <xdr:cNvPr id="9930" name="BExSAY9B7848KI3S3ZDN2J06OMX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5647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72</xdr:row>
      <xdr:rowOff>152400</xdr:rowOff>
    </xdr:from>
    <xdr:to>
      <xdr:col>0</xdr:col>
      <xdr:colOff>323850</xdr:colOff>
      <xdr:row>73</xdr:row>
      <xdr:rowOff>85725</xdr:rowOff>
    </xdr:to>
    <xdr:pic macro="[5]!DesignIconClicked">
      <xdr:nvPicPr>
        <xdr:cNvPr id="9931" name="BExF4VKMR2NTAOY93K6H7C4LM3M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317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72</xdr:row>
      <xdr:rowOff>0</xdr:rowOff>
    </xdr:from>
    <xdr:to>
      <xdr:col>0</xdr:col>
      <xdr:colOff>323850</xdr:colOff>
      <xdr:row>72</xdr:row>
      <xdr:rowOff>123825</xdr:rowOff>
    </xdr:to>
    <xdr:pic macro="[5]!DesignIconClicked">
      <xdr:nvPicPr>
        <xdr:cNvPr id="9932" name="BExQD6ZTMUDAR6DAXAKIXJWEK12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2164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71</xdr:row>
      <xdr:rowOff>0</xdr:rowOff>
    </xdr:from>
    <xdr:to>
      <xdr:col>0</xdr:col>
      <xdr:colOff>323850</xdr:colOff>
      <xdr:row>71</xdr:row>
      <xdr:rowOff>123825</xdr:rowOff>
    </xdr:to>
    <xdr:pic macro="[5]!DesignIconClicked">
      <xdr:nvPicPr>
        <xdr:cNvPr id="9933" name="BEx1IWB7ARRWEHYRC53NWTMGPBX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964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68</xdr:row>
      <xdr:rowOff>9525</xdr:rowOff>
    </xdr:from>
    <xdr:to>
      <xdr:col>0</xdr:col>
      <xdr:colOff>323850</xdr:colOff>
      <xdr:row>68</xdr:row>
      <xdr:rowOff>133350</xdr:rowOff>
    </xdr:to>
    <xdr:pic macro="[5]!DesignIconClicked">
      <xdr:nvPicPr>
        <xdr:cNvPr id="9934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821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67</xdr:row>
      <xdr:rowOff>0</xdr:rowOff>
    </xdr:from>
    <xdr:to>
      <xdr:col>0</xdr:col>
      <xdr:colOff>323850</xdr:colOff>
      <xdr:row>67</xdr:row>
      <xdr:rowOff>123825</xdr:rowOff>
    </xdr:to>
    <xdr:pic macro="[5]!DesignIconClicked">
      <xdr:nvPicPr>
        <xdr:cNvPr id="9935" name="BExKO7DWXKAMWC9CW0V26OX7RC2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431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66</xdr:row>
      <xdr:rowOff>0</xdr:rowOff>
    </xdr:from>
    <xdr:to>
      <xdr:col>0</xdr:col>
      <xdr:colOff>323850</xdr:colOff>
      <xdr:row>66</xdr:row>
      <xdr:rowOff>123825</xdr:rowOff>
    </xdr:to>
    <xdr:pic macro="[5]!DesignIconClicked">
      <xdr:nvPicPr>
        <xdr:cNvPr id="9936" name="BEx3URF28AD9A53EU468O44X68A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0231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62</xdr:row>
      <xdr:rowOff>152400</xdr:rowOff>
    </xdr:from>
    <xdr:to>
      <xdr:col>0</xdr:col>
      <xdr:colOff>323850</xdr:colOff>
      <xdr:row>63</xdr:row>
      <xdr:rowOff>85725</xdr:rowOff>
    </xdr:to>
    <xdr:pic macro="[5]!DesignIconClicked">
      <xdr:nvPicPr>
        <xdr:cNvPr id="9937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030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62</xdr:row>
      <xdr:rowOff>0</xdr:rowOff>
    </xdr:from>
    <xdr:to>
      <xdr:col>0</xdr:col>
      <xdr:colOff>323850</xdr:colOff>
      <xdr:row>62</xdr:row>
      <xdr:rowOff>123825</xdr:rowOff>
    </xdr:to>
    <xdr:pic macro="[5]!DesignIconClicked">
      <xdr:nvPicPr>
        <xdr:cNvPr id="9938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8785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56</xdr:row>
      <xdr:rowOff>0</xdr:rowOff>
    </xdr:from>
    <xdr:to>
      <xdr:col>0</xdr:col>
      <xdr:colOff>323850</xdr:colOff>
      <xdr:row>56</xdr:row>
      <xdr:rowOff>123825</xdr:rowOff>
    </xdr:to>
    <xdr:pic macro="[5]!DesignIconClicked">
      <xdr:nvPicPr>
        <xdr:cNvPr id="9939" name="BEx76AIYOFZIP5DZK7KBTXLJBN3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5069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54</xdr:row>
      <xdr:rowOff>152400</xdr:rowOff>
    </xdr:from>
    <xdr:to>
      <xdr:col>0</xdr:col>
      <xdr:colOff>323850</xdr:colOff>
      <xdr:row>55</xdr:row>
      <xdr:rowOff>85725</xdr:rowOff>
    </xdr:to>
    <xdr:pic macro="[5]!DesignIconClicked">
      <xdr:nvPicPr>
        <xdr:cNvPr id="9940" name="BExMF6ZX2FKCW95TEADZS8LP4O3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70783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53</xdr:row>
      <xdr:rowOff>0</xdr:rowOff>
    </xdr:from>
    <xdr:to>
      <xdr:col>0</xdr:col>
      <xdr:colOff>323850</xdr:colOff>
      <xdr:row>53</xdr:row>
      <xdr:rowOff>123825</xdr:rowOff>
    </xdr:to>
    <xdr:pic macro="[5]!DesignIconClicked">
      <xdr:nvPicPr>
        <xdr:cNvPr id="9941" name="BExMIVBAG69336BRPF1E0937JTP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544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49</xdr:row>
      <xdr:rowOff>0</xdr:rowOff>
    </xdr:from>
    <xdr:to>
      <xdr:col>0</xdr:col>
      <xdr:colOff>323850</xdr:colOff>
      <xdr:row>49</xdr:row>
      <xdr:rowOff>123825</xdr:rowOff>
    </xdr:to>
    <xdr:pic macro="[5]!DesignIconClicked">
      <xdr:nvPicPr>
        <xdr:cNvPr id="994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5733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48</xdr:row>
      <xdr:rowOff>9525</xdr:rowOff>
    </xdr:from>
    <xdr:to>
      <xdr:col>0</xdr:col>
      <xdr:colOff>323850</xdr:colOff>
      <xdr:row>48</xdr:row>
      <xdr:rowOff>133350</xdr:rowOff>
    </xdr:to>
    <xdr:pic macro="[5]!DesignIconClicked">
      <xdr:nvPicPr>
        <xdr:cNvPr id="9943" name="BExVTJNV4UY1F984JYID6T39CSM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382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46</xdr:row>
      <xdr:rowOff>0</xdr:rowOff>
    </xdr:from>
    <xdr:to>
      <xdr:col>0</xdr:col>
      <xdr:colOff>323850</xdr:colOff>
      <xdr:row>46</xdr:row>
      <xdr:rowOff>123825</xdr:rowOff>
    </xdr:to>
    <xdr:pic macro="[5]!DesignIconClicked">
      <xdr:nvPicPr>
        <xdr:cNvPr id="9944" name="BEx9094KQ1BK1J5F7YSTHKC5ARU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973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45</xdr:row>
      <xdr:rowOff>0</xdr:rowOff>
    </xdr:from>
    <xdr:to>
      <xdr:col>0</xdr:col>
      <xdr:colOff>323850</xdr:colOff>
      <xdr:row>45</xdr:row>
      <xdr:rowOff>123825</xdr:rowOff>
    </xdr:to>
    <xdr:pic macro="[5]!DesignIconClicked">
      <xdr:nvPicPr>
        <xdr:cNvPr id="9945" name="BEx9HLUQGZKG31IHFF5E5PYPJ7Z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7732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34</xdr:row>
      <xdr:rowOff>0</xdr:rowOff>
    </xdr:from>
    <xdr:to>
      <xdr:col>0</xdr:col>
      <xdr:colOff>247650</xdr:colOff>
      <xdr:row>34</xdr:row>
      <xdr:rowOff>123825</xdr:rowOff>
    </xdr:to>
    <xdr:pic macro="[5]!DesignIconClicked">
      <xdr:nvPicPr>
        <xdr:cNvPr id="9946" name="BExMIMH38KTDZWYP3RK3Q16HKXN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76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33</xdr:row>
      <xdr:rowOff>0</xdr:rowOff>
    </xdr:from>
    <xdr:to>
      <xdr:col>0</xdr:col>
      <xdr:colOff>285750</xdr:colOff>
      <xdr:row>33</xdr:row>
      <xdr:rowOff>123825</xdr:rowOff>
    </xdr:to>
    <xdr:pic macro="[5]!DesignIconClicked">
      <xdr:nvPicPr>
        <xdr:cNvPr id="9947" name="BEx5CR7H2W6ZCSDAY37PZD2X3D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31</xdr:row>
      <xdr:rowOff>152400</xdr:rowOff>
    </xdr:from>
    <xdr:to>
      <xdr:col>0</xdr:col>
      <xdr:colOff>323850</xdr:colOff>
      <xdr:row>32</xdr:row>
      <xdr:rowOff>85725</xdr:rowOff>
    </xdr:to>
    <xdr:pic macro="[5]!DesignIconClicked">
      <xdr:nvPicPr>
        <xdr:cNvPr id="9948" name="BExD3FU978QPUU0JFU27AXJ0R2B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15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31</xdr:row>
      <xdr:rowOff>0</xdr:rowOff>
    </xdr:from>
    <xdr:to>
      <xdr:col>0</xdr:col>
      <xdr:colOff>323850</xdr:colOff>
      <xdr:row>31</xdr:row>
      <xdr:rowOff>123825</xdr:rowOff>
    </xdr:to>
    <xdr:pic macro="[5]!DesignIconClicked">
      <xdr:nvPicPr>
        <xdr:cNvPr id="9949" name="BExMKU6ZNJNI8Z95ZR8KU1UM1Y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26</xdr:row>
      <xdr:rowOff>9525</xdr:rowOff>
    </xdr:from>
    <xdr:to>
      <xdr:col>0</xdr:col>
      <xdr:colOff>247650</xdr:colOff>
      <xdr:row>26</xdr:row>
      <xdr:rowOff>133350</xdr:rowOff>
    </xdr:to>
    <xdr:pic macro="[5]!DesignIconClicked">
      <xdr:nvPicPr>
        <xdr:cNvPr id="9950" name="BEx920TANHZ6QZ42V1J04WD1Z6I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86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25</xdr:row>
      <xdr:rowOff>0</xdr:rowOff>
    </xdr:from>
    <xdr:to>
      <xdr:col>0</xdr:col>
      <xdr:colOff>285750</xdr:colOff>
      <xdr:row>25</xdr:row>
      <xdr:rowOff>123825</xdr:rowOff>
    </xdr:to>
    <xdr:pic macro="[5]!DesignIconClicked">
      <xdr:nvPicPr>
        <xdr:cNvPr id="9951" name="BExMGYTYOK5QEQD9J4TJM629BHW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24</xdr:row>
      <xdr:rowOff>0</xdr:rowOff>
    </xdr:from>
    <xdr:to>
      <xdr:col>0</xdr:col>
      <xdr:colOff>285750</xdr:colOff>
      <xdr:row>24</xdr:row>
      <xdr:rowOff>123825</xdr:rowOff>
    </xdr:to>
    <xdr:pic macro="[5]!DesignIconClicked">
      <xdr:nvPicPr>
        <xdr:cNvPr id="9952" name="BExVS3TFAOV5ZP72Z33J2K0UEL6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07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23</xdr:row>
      <xdr:rowOff>0</xdr:rowOff>
    </xdr:from>
    <xdr:to>
      <xdr:col>0</xdr:col>
      <xdr:colOff>285750</xdr:colOff>
      <xdr:row>23</xdr:row>
      <xdr:rowOff>123825</xdr:rowOff>
    </xdr:to>
    <xdr:pic macro="[5]!DesignIconClicked">
      <xdr:nvPicPr>
        <xdr:cNvPr id="9953" name="BExKQ6V5VSAJLGAYD4BCXTS376R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96</xdr:row>
      <xdr:rowOff>152400</xdr:rowOff>
    </xdr:from>
    <xdr:to>
      <xdr:col>0</xdr:col>
      <xdr:colOff>285750</xdr:colOff>
      <xdr:row>97</xdr:row>
      <xdr:rowOff>85725</xdr:rowOff>
    </xdr:to>
    <xdr:pic macro="[5]!DesignIconClicked">
      <xdr:nvPicPr>
        <xdr:cNvPr id="9954" name="BExGZVXWARWGOABR6K8TM41OHL1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651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18</xdr:row>
      <xdr:rowOff>0</xdr:rowOff>
    </xdr:from>
    <xdr:to>
      <xdr:col>0</xdr:col>
      <xdr:colOff>285750</xdr:colOff>
      <xdr:row>18</xdr:row>
      <xdr:rowOff>123825</xdr:rowOff>
    </xdr:to>
    <xdr:pic macro="[5]!DesignIconClicked">
      <xdr:nvPicPr>
        <xdr:cNvPr id="9955" name="BEx9C4Y8HAZATE550GZ5OA6KUUB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15</xdr:row>
      <xdr:rowOff>0</xdr:rowOff>
    </xdr:from>
    <xdr:to>
      <xdr:col>0</xdr:col>
      <xdr:colOff>285750</xdr:colOff>
      <xdr:row>15</xdr:row>
      <xdr:rowOff>123825</xdr:rowOff>
    </xdr:to>
    <xdr:pic macro="[5]!DesignIconClicked">
      <xdr:nvPicPr>
        <xdr:cNvPr id="9956" name="BExZRPCQI0VZORX4KTB96C83CA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48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93</xdr:row>
      <xdr:rowOff>9525</xdr:rowOff>
    </xdr:from>
    <xdr:to>
      <xdr:col>0</xdr:col>
      <xdr:colOff>285750</xdr:colOff>
      <xdr:row>93</xdr:row>
      <xdr:rowOff>133350</xdr:rowOff>
    </xdr:to>
    <xdr:pic macro="[5]!DesignIconClicked">
      <xdr:nvPicPr>
        <xdr:cNvPr id="9957" name="BEx9AKR9JISSOLQZUHPLTN4NA8E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9081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14</xdr:row>
      <xdr:rowOff>0</xdr:rowOff>
    </xdr:from>
    <xdr:to>
      <xdr:col>0</xdr:col>
      <xdr:colOff>285750</xdr:colOff>
      <xdr:row>14</xdr:row>
      <xdr:rowOff>123825</xdr:rowOff>
    </xdr:to>
    <xdr:pic macro="[5]!DesignIconClicked">
      <xdr:nvPicPr>
        <xdr:cNvPr id="9958" name="BExMF3P9JRPH1O1DQ9Y9D83B0KX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9525</xdr:rowOff>
    </xdr:from>
    <xdr:to>
      <xdr:col>0</xdr:col>
      <xdr:colOff>285750</xdr:colOff>
      <xdr:row>13</xdr:row>
      <xdr:rowOff>133350</xdr:rowOff>
    </xdr:to>
    <xdr:pic macro="[5]!DesignIconClicked">
      <xdr:nvPicPr>
        <xdr:cNvPr id="9959" name="BExIPPALN7MO6MKNEQTWRD0LA5O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10</xdr:row>
      <xdr:rowOff>0</xdr:rowOff>
    </xdr:from>
    <xdr:to>
      <xdr:col>0</xdr:col>
      <xdr:colOff>285750</xdr:colOff>
      <xdr:row>10</xdr:row>
      <xdr:rowOff>123825</xdr:rowOff>
    </xdr:to>
    <xdr:pic macro="[5]!DesignIconClicked">
      <xdr:nvPicPr>
        <xdr:cNvPr id="9960" name="BExQJI60SJRHQ4JS6JPLCQ3YV06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152400</xdr:rowOff>
    </xdr:from>
    <xdr:to>
      <xdr:col>0</xdr:col>
      <xdr:colOff>285750</xdr:colOff>
      <xdr:row>9</xdr:row>
      <xdr:rowOff>85725</xdr:rowOff>
    </xdr:to>
    <xdr:pic macro="[5]!DesignIconClicked">
      <xdr:nvPicPr>
        <xdr:cNvPr id="9961" name="BEx9CFFUIZPID3MHRFJI2Y2O2TB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0</xdr:rowOff>
    </xdr:from>
    <xdr:to>
      <xdr:col>0</xdr:col>
      <xdr:colOff>285750</xdr:colOff>
      <xdr:row>8</xdr:row>
      <xdr:rowOff>123825</xdr:rowOff>
    </xdr:to>
    <xdr:pic macro="[5]!DesignIconClicked">
      <xdr:nvPicPr>
        <xdr:cNvPr id="9962" name="BExZP8HOZBEGAYZMBXW6BZQ4DW8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</xdr:row>
      <xdr:rowOff>0</xdr:rowOff>
    </xdr:from>
    <xdr:to>
      <xdr:col>0</xdr:col>
      <xdr:colOff>285750</xdr:colOff>
      <xdr:row>7</xdr:row>
      <xdr:rowOff>123825</xdr:rowOff>
    </xdr:to>
    <xdr:pic macro="[5]!DesignIconClicked">
      <xdr:nvPicPr>
        <xdr:cNvPr id="9963" name="BExZNVHN9TW5Q04XOU0O0KOOO9X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92</xdr:row>
      <xdr:rowOff>0</xdr:rowOff>
    </xdr:from>
    <xdr:to>
      <xdr:col>0</xdr:col>
      <xdr:colOff>247650</xdr:colOff>
      <xdr:row>92</xdr:row>
      <xdr:rowOff>123825</xdr:rowOff>
    </xdr:to>
    <xdr:pic macro="[5]!DesignIconClicked">
      <xdr:nvPicPr>
        <xdr:cNvPr id="9964" name="BExQJJD75Y19V2BTWMIBDWRET09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6985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88</xdr:row>
      <xdr:rowOff>152400</xdr:rowOff>
    </xdr:from>
    <xdr:to>
      <xdr:col>0</xdr:col>
      <xdr:colOff>285750</xdr:colOff>
      <xdr:row>89</xdr:row>
      <xdr:rowOff>95250</xdr:rowOff>
    </xdr:to>
    <xdr:pic macro="[5]!DesignIconClicked">
      <xdr:nvPicPr>
        <xdr:cNvPr id="9965" name="BExCX0GXT7L8HVT29Y0YPJN016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0508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88</xdr:row>
      <xdr:rowOff>0</xdr:rowOff>
    </xdr:from>
    <xdr:to>
      <xdr:col>0</xdr:col>
      <xdr:colOff>285750</xdr:colOff>
      <xdr:row>88</xdr:row>
      <xdr:rowOff>123825</xdr:rowOff>
    </xdr:to>
    <xdr:pic macro="[5]!DesignIconClicked">
      <xdr:nvPicPr>
        <xdr:cNvPr id="9966" name="BEx5HMDLU5AZPI3PLB8VTJKSQW0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984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85</xdr:row>
      <xdr:rowOff>9525</xdr:rowOff>
    </xdr:from>
    <xdr:to>
      <xdr:col>0</xdr:col>
      <xdr:colOff>285750</xdr:colOff>
      <xdr:row>85</xdr:row>
      <xdr:rowOff>133350</xdr:rowOff>
    </xdr:to>
    <xdr:pic macro="[5]!DesignIconClicked">
      <xdr:nvPicPr>
        <xdr:cNvPr id="9967" name="BExSE33KOZYHG4FCVWWDG0EJQT3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07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</xdr:row>
      <xdr:rowOff>0</xdr:rowOff>
    </xdr:from>
    <xdr:to>
      <xdr:col>0</xdr:col>
      <xdr:colOff>285750</xdr:colOff>
      <xdr:row>6</xdr:row>
      <xdr:rowOff>123825</xdr:rowOff>
    </xdr:to>
    <xdr:pic macro="[5]!DesignIconClicked">
      <xdr:nvPicPr>
        <xdr:cNvPr id="9968" name="BEx3SYTXUVPD2439FU5DDNGVVPB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9525</xdr:rowOff>
    </xdr:from>
    <xdr:to>
      <xdr:col>0</xdr:col>
      <xdr:colOff>285750</xdr:colOff>
      <xdr:row>5</xdr:row>
      <xdr:rowOff>133350</xdr:rowOff>
    </xdr:to>
    <xdr:pic macro="[5]!DesignIconClicked">
      <xdr:nvPicPr>
        <xdr:cNvPr id="9969" name="BExS0V0XDC2DO8KIWYQ1LES4G1Q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0" name="BExU2S556GPHX22V0M4L7F9T0FL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1" name="BExSHFKUKR7P9M4SLXLYUE88PY2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2" name="BExOHQAK7HFF35CSJ4LY2UNPTQK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3" name="BExBAHSM0UBA92ZS8R68PKIGURR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4" name="BExSFMJHM66XI1G6ADRIEAO9KUI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82</xdr:row>
      <xdr:rowOff>0</xdr:rowOff>
    </xdr:from>
    <xdr:to>
      <xdr:col>0</xdr:col>
      <xdr:colOff>285750</xdr:colOff>
      <xdr:row>82</xdr:row>
      <xdr:rowOff>123825</xdr:rowOff>
    </xdr:to>
    <xdr:pic macro="[5]!DesignIconClicked">
      <xdr:nvPicPr>
        <xdr:cNvPr id="9975" name="BEx5KQGQRK7G2TSUBBICE3I1V4B8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173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6" name="BExOF6AC13ASWE0UGWPOU1US9AD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7" name="BEx3BHGOCA6VRN65EIOZGQELIJIB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8" name="BExZK4BU3NVV0IKEJ4D09N23O32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79" name="BExD2GXBRUCURXWZW2YAJ0VL8OS5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0" name="BExINWV0QVN4X2MIQKNFQ8PF7SQ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1" name="BExS7PJ046DTSHLESXR8PKOW9U04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2" name="BExH359T0B76TSC4HSKJDIW4HPP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3" name="BExOACWRD1MM4J50DDGMA3761HDW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80</xdr:row>
      <xdr:rowOff>152400</xdr:rowOff>
    </xdr:from>
    <xdr:to>
      <xdr:col>0</xdr:col>
      <xdr:colOff>247650</xdr:colOff>
      <xdr:row>81</xdr:row>
      <xdr:rowOff>85725</xdr:rowOff>
    </xdr:to>
    <xdr:pic macro="[5]!DesignIconClicked">
      <xdr:nvPicPr>
        <xdr:cNvPr id="9984" name="BExIXRP9PUA5Z1LDKRXZU73NGEKC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4269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75</xdr:row>
      <xdr:rowOff>0</xdr:rowOff>
    </xdr:from>
    <xdr:to>
      <xdr:col>0</xdr:col>
      <xdr:colOff>285750</xdr:colOff>
      <xdr:row>75</xdr:row>
      <xdr:rowOff>123825</xdr:rowOff>
    </xdr:to>
    <xdr:pic macro="[5]!DesignIconClicked">
      <xdr:nvPicPr>
        <xdr:cNvPr id="9985" name="BExMB7LC57L6JQSJEG0F9U47YZP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764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70</xdr:row>
      <xdr:rowOff>0</xdr:rowOff>
    </xdr:from>
    <xdr:to>
      <xdr:col>0</xdr:col>
      <xdr:colOff>285750</xdr:colOff>
      <xdr:row>70</xdr:row>
      <xdr:rowOff>123825</xdr:rowOff>
    </xdr:to>
    <xdr:pic macro="[5]!DesignIconClicked">
      <xdr:nvPicPr>
        <xdr:cNvPr id="9986" name="BExAZHQTMHBZF2873DGP9Z6BQEU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764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7" name="BExGW4RYUAR35AKGNLGPHTKVKJR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8" name="BExXO2NBUGYXIORT5JWUQ26IO6FD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9989" name="BExQIL1OR2ZFIDST3HG2U11XMJB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65</xdr:row>
      <xdr:rowOff>0</xdr:rowOff>
    </xdr:from>
    <xdr:to>
      <xdr:col>0</xdr:col>
      <xdr:colOff>285750</xdr:colOff>
      <xdr:row>65</xdr:row>
      <xdr:rowOff>123825</xdr:rowOff>
    </xdr:to>
    <xdr:pic macro="[5]!DesignIconClicked">
      <xdr:nvPicPr>
        <xdr:cNvPr id="9990" name="BEx7M8G711WW9XHIRWBF8D3LQRX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031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61</xdr:row>
      <xdr:rowOff>0</xdr:rowOff>
    </xdr:from>
    <xdr:to>
      <xdr:col>0</xdr:col>
      <xdr:colOff>285750</xdr:colOff>
      <xdr:row>61</xdr:row>
      <xdr:rowOff>123825</xdr:rowOff>
    </xdr:to>
    <xdr:pic macro="[5]!DesignIconClicked">
      <xdr:nvPicPr>
        <xdr:cNvPr id="9991" name="BExF0HHC9879CDKCESPJM84GU0Y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688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57</xdr:row>
      <xdr:rowOff>0</xdr:rowOff>
    </xdr:from>
    <xdr:to>
      <xdr:col>0</xdr:col>
      <xdr:colOff>285750</xdr:colOff>
      <xdr:row>57</xdr:row>
      <xdr:rowOff>123825</xdr:rowOff>
    </xdr:to>
    <xdr:pic macro="[5]!DesignIconClicked">
      <xdr:nvPicPr>
        <xdr:cNvPr id="9992" name="BExH20D2KZEY6DCROBAJVYF84W8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7069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54</xdr:row>
      <xdr:rowOff>0</xdr:rowOff>
    </xdr:from>
    <xdr:to>
      <xdr:col>0</xdr:col>
      <xdr:colOff>285750</xdr:colOff>
      <xdr:row>54</xdr:row>
      <xdr:rowOff>123825</xdr:rowOff>
    </xdr:to>
    <xdr:pic macro="[5]!DesignIconClicked">
      <xdr:nvPicPr>
        <xdr:cNvPr id="9993" name="BExGS4X3D29I51X6BAQ0CFES0OLF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9259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44</xdr:row>
      <xdr:rowOff>0</xdr:rowOff>
    </xdr:from>
    <xdr:to>
      <xdr:col>0</xdr:col>
      <xdr:colOff>285750</xdr:colOff>
      <xdr:row>44</xdr:row>
      <xdr:rowOff>123825</xdr:rowOff>
    </xdr:to>
    <xdr:pic macro="[5]!DesignIconClicked">
      <xdr:nvPicPr>
        <xdr:cNvPr id="9994" name="BExSENML24X0PB0VWEZUG8I0W9L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57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43</xdr:row>
      <xdr:rowOff>0</xdr:rowOff>
    </xdr:from>
    <xdr:to>
      <xdr:col>0</xdr:col>
      <xdr:colOff>247650</xdr:colOff>
      <xdr:row>43</xdr:row>
      <xdr:rowOff>123825</xdr:rowOff>
    </xdr:to>
    <xdr:pic macro="[5]!DesignIconClicked">
      <xdr:nvPicPr>
        <xdr:cNvPr id="9995" name="BExD1CM0FM307L8N52EQWISWYUR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4211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42</xdr:row>
      <xdr:rowOff>9525</xdr:rowOff>
    </xdr:from>
    <xdr:to>
      <xdr:col>0</xdr:col>
      <xdr:colOff>209550</xdr:colOff>
      <xdr:row>42</xdr:row>
      <xdr:rowOff>133350</xdr:rowOff>
    </xdr:to>
    <xdr:pic macro="[5]!DesignIconClicked">
      <xdr:nvPicPr>
        <xdr:cNvPr id="9996" name="BExZUAK4THR5M67VRJU0XBFSQH0M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36779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35</xdr:row>
      <xdr:rowOff>0</xdr:rowOff>
    </xdr:from>
    <xdr:to>
      <xdr:col>0</xdr:col>
      <xdr:colOff>171450</xdr:colOff>
      <xdr:row>35</xdr:row>
      <xdr:rowOff>123825</xdr:rowOff>
    </xdr:to>
    <xdr:pic macro="[5]!DesignIconClicked">
      <xdr:nvPicPr>
        <xdr:cNvPr id="9997" name="BExEO74HDX7HZJEVLGNU4UAPL2C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201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30</xdr:row>
      <xdr:rowOff>0</xdr:rowOff>
    </xdr:from>
    <xdr:to>
      <xdr:col>0</xdr:col>
      <xdr:colOff>285750</xdr:colOff>
      <xdr:row>30</xdr:row>
      <xdr:rowOff>123825</xdr:rowOff>
    </xdr:to>
    <xdr:pic macro="[5]!DesignIconClicked">
      <xdr:nvPicPr>
        <xdr:cNvPr id="9998" name="BExXRTTAE7GU8HGUG96I479X8HQA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01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27</xdr:row>
      <xdr:rowOff>0</xdr:rowOff>
    </xdr:from>
    <xdr:to>
      <xdr:col>0</xdr:col>
      <xdr:colOff>247650</xdr:colOff>
      <xdr:row>27</xdr:row>
      <xdr:rowOff>123825</xdr:rowOff>
    </xdr:to>
    <xdr:pic macro="[5]!DesignIconClicked">
      <xdr:nvPicPr>
        <xdr:cNvPr id="9999" name="BExW7C46V6JT2TBG2RX0F8Q3MRQ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18</xdr:row>
      <xdr:rowOff>152400</xdr:rowOff>
    </xdr:from>
    <xdr:to>
      <xdr:col>0</xdr:col>
      <xdr:colOff>247650</xdr:colOff>
      <xdr:row>19</xdr:row>
      <xdr:rowOff>85725</xdr:rowOff>
    </xdr:to>
    <xdr:pic macro="[5]!DesignIconClicked">
      <xdr:nvPicPr>
        <xdr:cNvPr id="10000" name="BEx1KX4X8UZ1ZMCNYNNM6IF8F2WQ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596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12</xdr:row>
      <xdr:rowOff>0</xdr:rowOff>
    </xdr:from>
    <xdr:to>
      <xdr:col>0</xdr:col>
      <xdr:colOff>247650</xdr:colOff>
      <xdr:row>12</xdr:row>
      <xdr:rowOff>123825</xdr:rowOff>
    </xdr:to>
    <xdr:pic macro="[5]!DesignIconClicked">
      <xdr:nvPicPr>
        <xdr:cNvPr id="10001" name="BExXNGX5CWBN5KFFIU3JDWRCJJD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11</xdr:row>
      <xdr:rowOff>0</xdr:rowOff>
    </xdr:from>
    <xdr:to>
      <xdr:col>0</xdr:col>
      <xdr:colOff>209550</xdr:colOff>
      <xdr:row>11</xdr:row>
      <xdr:rowOff>123825</xdr:rowOff>
    </xdr:to>
    <xdr:pic macro="[5]!DesignIconClicked">
      <xdr:nvPicPr>
        <xdr:cNvPr id="10002" name="BExH0KIHRR61FT8N6OUPQC13WMBW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03" name="BEx9BVNQVGDIYTVU0KXPWQ2S0OJ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04" name="BEx5C2MP2IW240XRGQMIN4DUNLZ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10005" name="BExIVZ9O7QSD2K1ACSZQTLEU5291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10006" name="BExEPEA6RF4SNLOC7U3DI1YYFU3E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07" name="BExKUYAI9NYOZWUIDKVYXCKW1HU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08" name="BExQI3YPHC3FQFS09LRERIT4NXA7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09" name="BEx588GTE3NKOPF8PNOO7RZC3NBS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10" name="BExDBYQB50WM48UFQKKIILSZPMG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11" name="BExY3B8WAZBZLKIDONE0AJX31T4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12" name="BExMET7L2LNJB2ZMIQ2DP307792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13" name="BExQ6T4GQ2718Q9Q81RQLKS84YM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14" name="BExIXXE9ZIDN4UTWDMRZ1G9C68E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15" name="BExGYVZ5S90LUZ32XNX8GJ0AVN5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13</xdr:row>
      <xdr:rowOff>9525</xdr:rowOff>
    </xdr:from>
    <xdr:to>
      <xdr:col>0</xdr:col>
      <xdr:colOff>323850</xdr:colOff>
      <xdr:row>13</xdr:row>
      <xdr:rowOff>133350</xdr:rowOff>
    </xdr:to>
    <xdr:pic macro="[5]!DesignIconClicked">
      <xdr:nvPicPr>
        <xdr:cNvPr id="10016" name="BExQBUAKO94ZDYA7B02RR3SX4QN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476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12</xdr:row>
      <xdr:rowOff>0</xdr:rowOff>
    </xdr:from>
    <xdr:to>
      <xdr:col>0</xdr:col>
      <xdr:colOff>323850</xdr:colOff>
      <xdr:row>12</xdr:row>
      <xdr:rowOff>123825</xdr:rowOff>
    </xdr:to>
    <xdr:pic macro="[5]!DesignIconClicked">
      <xdr:nvPicPr>
        <xdr:cNvPr id="10017" name="BEx3DMS8NACJ0TE74N2OVBV0F1A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18" name="BExD4X6MN2ZGWKK14DM7V0953AB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19" name="BExSANMED3CKULRS7SU6OX7GK7Q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20" name="BExIWWTYW9KJLYQE2U4RQV3VSAS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11</xdr:row>
      <xdr:rowOff>0</xdr:rowOff>
    </xdr:from>
    <xdr:to>
      <xdr:col>0</xdr:col>
      <xdr:colOff>323850</xdr:colOff>
      <xdr:row>11</xdr:row>
      <xdr:rowOff>123825</xdr:rowOff>
    </xdr:to>
    <xdr:pic macro="[5]!DesignIconClicked">
      <xdr:nvPicPr>
        <xdr:cNvPr id="10021" name="BExKR8X9Q4ELFT9BKM8O65J2VYV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695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10</xdr:row>
      <xdr:rowOff>0</xdr:rowOff>
    </xdr:from>
    <xdr:to>
      <xdr:col>0</xdr:col>
      <xdr:colOff>323850</xdr:colOff>
      <xdr:row>10</xdr:row>
      <xdr:rowOff>123825</xdr:rowOff>
    </xdr:to>
    <xdr:pic macro="[5]!DesignIconClicked">
      <xdr:nvPicPr>
        <xdr:cNvPr id="10022" name="BExO7YWA90Q820X6X0KE95Q3W5T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</xdr:row>
      <xdr:rowOff>152400</xdr:rowOff>
    </xdr:from>
    <xdr:to>
      <xdr:col>0</xdr:col>
      <xdr:colOff>323850</xdr:colOff>
      <xdr:row>9</xdr:row>
      <xdr:rowOff>85725</xdr:rowOff>
    </xdr:to>
    <xdr:pic macro="[5]!DesignIconClicked">
      <xdr:nvPicPr>
        <xdr:cNvPr id="10023" name="BExSBOXMNFNMY7W3K7VR7QT0PCN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30861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8</xdr:row>
      <xdr:rowOff>0</xdr:rowOff>
    </xdr:from>
    <xdr:to>
      <xdr:col>0</xdr:col>
      <xdr:colOff>323850</xdr:colOff>
      <xdr:row>8</xdr:row>
      <xdr:rowOff>123825</xdr:rowOff>
    </xdr:to>
    <xdr:pic macro="[5]!DesignIconClicked">
      <xdr:nvPicPr>
        <xdr:cNvPr id="10024" name="BExMFVVGVCHVY01DNTCJ87CX77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7</xdr:row>
      <xdr:rowOff>0</xdr:rowOff>
    </xdr:from>
    <xdr:to>
      <xdr:col>0</xdr:col>
      <xdr:colOff>323850</xdr:colOff>
      <xdr:row>7</xdr:row>
      <xdr:rowOff>123825</xdr:rowOff>
    </xdr:to>
    <xdr:pic macro="[5]!DesignIconClicked">
      <xdr:nvPicPr>
        <xdr:cNvPr id="10025" name="BEx9J61P7AX6Q7CUK480B1ILIW4Z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733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</xdr:row>
      <xdr:rowOff>0</xdr:rowOff>
    </xdr:from>
    <xdr:to>
      <xdr:col>0</xdr:col>
      <xdr:colOff>323850</xdr:colOff>
      <xdr:row>6</xdr:row>
      <xdr:rowOff>123825</xdr:rowOff>
    </xdr:to>
    <xdr:pic macro="[5]!DesignIconClicked">
      <xdr:nvPicPr>
        <xdr:cNvPr id="10026" name="BExUD6BFVFZ0R8R6MARBY30E7QI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27" name="BExJ06RLOKMBZF5W9KJSSZ1IXIAU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</xdr:row>
      <xdr:rowOff>9525</xdr:rowOff>
    </xdr:from>
    <xdr:to>
      <xdr:col>0</xdr:col>
      <xdr:colOff>323850</xdr:colOff>
      <xdr:row>5</xdr:row>
      <xdr:rowOff>133350</xdr:rowOff>
    </xdr:to>
    <xdr:pic macro="[5]!DesignIconClicked">
      <xdr:nvPicPr>
        <xdr:cNvPr id="10028" name="BExU1MC1VY4M9IVSEYCVMQP4VDXJ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3431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29" name="BExRZNPWDB2VU45NKZ1PA0L0TKDT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0" name="BEx5ENU5B4GEWQ4F68DSA6AQ8Y5G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1" name="BExOOCUTLJVNZPR0KB03HGAPNCN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2" name="BExKOXLWI6FDPTLHL32INQQ1D4BM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33" name="BExB1O9IQC93NWLKKG5R17MU1WF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34" name="BExF5FI23P9SV4WZLLG1YAXGJ7IA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35" name="BEx5MNJP6SGCSQQ5M1BP7EIK0DG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6" name="BExKKOGQQ0AAKQ0H5Y6B47NQG4G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7" name="BExS6P45YWAS24CYWIBXW0M2NDX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323850</xdr:colOff>
      <xdr:row>4</xdr:row>
      <xdr:rowOff>123825</xdr:rowOff>
    </xdr:to>
    <xdr:pic macro="[5]!DesignIconClicked">
      <xdr:nvPicPr>
        <xdr:cNvPr id="10038" name="BExKMY4OLICRLVWSF3AGXPHF9N8K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39" name="BExGZ7IG3Z5GRW5EJXCZPSUBUPRY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40" name="BExIIOY7CJNKCGM1U5J2V6F81QHL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41" name="BExZQZFICIFDHHJQUB3K5XSPMINX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10042" name="BExBD6LO7GBW9BGKHS0C7Z2ES29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10043" name="BEx590XUMLWXQZKR81BA9EC3FVLP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33</xdr:row>
      <xdr:rowOff>152400</xdr:rowOff>
    </xdr:from>
    <xdr:to>
      <xdr:col>0</xdr:col>
      <xdr:colOff>171450</xdr:colOff>
      <xdr:row>34</xdr:row>
      <xdr:rowOff>85725</xdr:rowOff>
    </xdr:to>
    <xdr:pic macro="[5]!DesignIconClicked">
      <xdr:nvPicPr>
        <xdr:cNvPr id="10044" name="BEx5H78SNMBLM09C7SN5XCCLS8SU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33</xdr:row>
      <xdr:rowOff>152400</xdr:rowOff>
    </xdr:from>
    <xdr:to>
      <xdr:col>0</xdr:col>
      <xdr:colOff>171450</xdr:colOff>
      <xdr:row>34</xdr:row>
      <xdr:rowOff>85725</xdr:rowOff>
    </xdr:to>
    <xdr:pic macro="[5]!DesignIconClicked">
      <xdr:nvPicPr>
        <xdr:cNvPr id="10045" name="BExSG90OZLNAU60X48OU2LSJY4X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33</xdr:row>
      <xdr:rowOff>152400</xdr:rowOff>
    </xdr:from>
    <xdr:to>
      <xdr:col>0</xdr:col>
      <xdr:colOff>171450</xdr:colOff>
      <xdr:row>34</xdr:row>
      <xdr:rowOff>85725</xdr:rowOff>
    </xdr:to>
    <xdr:pic macro="[5]!DesignIconClicked">
      <xdr:nvPicPr>
        <xdr:cNvPr id="10046" name="BEx1IN0K6VE6SGZDMKZIZHPOIDG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715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33</xdr:row>
      <xdr:rowOff>0</xdr:rowOff>
    </xdr:from>
    <xdr:to>
      <xdr:col>0</xdr:col>
      <xdr:colOff>285750</xdr:colOff>
      <xdr:row>33</xdr:row>
      <xdr:rowOff>123825</xdr:rowOff>
    </xdr:to>
    <xdr:pic macro="[5]!DesignIconClicked">
      <xdr:nvPicPr>
        <xdr:cNvPr id="10047" name="BEx78EY65JGQZVA59I0UXHNT57Z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563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32</xdr:row>
      <xdr:rowOff>0</xdr:rowOff>
    </xdr:from>
    <xdr:to>
      <xdr:col>0</xdr:col>
      <xdr:colOff>323850</xdr:colOff>
      <xdr:row>32</xdr:row>
      <xdr:rowOff>123825</xdr:rowOff>
    </xdr:to>
    <xdr:pic macro="[5]!DesignIconClicked">
      <xdr:nvPicPr>
        <xdr:cNvPr id="10048" name="BExZW6W6RNKS7QQBWC60NGXHU33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36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49" name="BExVTRLUUU2R6V2FEH64X6OEXZN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31</xdr:row>
      <xdr:rowOff>0</xdr:rowOff>
    </xdr:from>
    <xdr:to>
      <xdr:col>0</xdr:col>
      <xdr:colOff>323850</xdr:colOff>
      <xdr:row>31</xdr:row>
      <xdr:rowOff>123825</xdr:rowOff>
    </xdr:to>
    <xdr:pic macro="[5]!DesignIconClicked">
      <xdr:nvPicPr>
        <xdr:cNvPr id="10050" name="BExS9GBCHHIKPEHBSOP9YIZ8TE4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1631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26</xdr:row>
      <xdr:rowOff>0</xdr:rowOff>
    </xdr:from>
    <xdr:to>
      <xdr:col>0</xdr:col>
      <xdr:colOff>247650</xdr:colOff>
      <xdr:row>26</xdr:row>
      <xdr:rowOff>123825</xdr:rowOff>
    </xdr:to>
    <xdr:pic macro="[5]!DesignIconClicked">
      <xdr:nvPicPr>
        <xdr:cNvPr id="10051" name="BExS5IK6IU4XXQ1KSNAIWZBVH8K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477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25</xdr:row>
      <xdr:rowOff>0</xdr:rowOff>
    </xdr:from>
    <xdr:to>
      <xdr:col>0</xdr:col>
      <xdr:colOff>285750</xdr:colOff>
      <xdr:row>25</xdr:row>
      <xdr:rowOff>123825</xdr:rowOff>
    </xdr:to>
    <xdr:pic macro="[5]!DesignIconClicked">
      <xdr:nvPicPr>
        <xdr:cNvPr id="10052" name="BEx1NAEBP8B72WYQVY55V4O6KV20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27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23</xdr:row>
      <xdr:rowOff>152400</xdr:rowOff>
    </xdr:from>
    <xdr:to>
      <xdr:col>0</xdr:col>
      <xdr:colOff>285750</xdr:colOff>
      <xdr:row>24</xdr:row>
      <xdr:rowOff>85725</xdr:rowOff>
    </xdr:to>
    <xdr:pic macro="[5]!DesignIconClicked">
      <xdr:nvPicPr>
        <xdr:cNvPr id="10053" name="BExIUO2ELCC2PZR2U3KLTAPUFSL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867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23</xdr:row>
      <xdr:rowOff>0</xdr:rowOff>
    </xdr:from>
    <xdr:to>
      <xdr:col>0</xdr:col>
      <xdr:colOff>285750</xdr:colOff>
      <xdr:row>23</xdr:row>
      <xdr:rowOff>123825</xdr:rowOff>
    </xdr:to>
    <xdr:pic macro="[5]!DesignIconClicked">
      <xdr:nvPicPr>
        <xdr:cNvPr id="10054" name="BExBABCQ1F19P6YDN33L7O6DF2SI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715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18</xdr:row>
      <xdr:rowOff>0</xdr:rowOff>
    </xdr:from>
    <xdr:to>
      <xdr:col>0</xdr:col>
      <xdr:colOff>285750</xdr:colOff>
      <xdr:row>18</xdr:row>
      <xdr:rowOff>123825</xdr:rowOff>
    </xdr:to>
    <xdr:pic macro="[5]!DesignIconClicked">
      <xdr:nvPicPr>
        <xdr:cNvPr id="10055" name="BEx3CCHC04MP3QOO2Y4SY32RNYD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810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15</xdr:row>
      <xdr:rowOff>9525</xdr:rowOff>
    </xdr:from>
    <xdr:to>
      <xdr:col>0</xdr:col>
      <xdr:colOff>285750</xdr:colOff>
      <xdr:row>15</xdr:row>
      <xdr:rowOff>133350</xdr:rowOff>
    </xdr:to>
    <xdr:pic macro="[5]!DesignIconClicked">
      <xdr:nvPicPr>
        <xdr:cNvPr id="10056" name="BExVSYZDDJFAX3I5YXQNUCAEJ0PR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0577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57" name="BExGS9V614IDQSKF56NHKXB4VFKD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10</xdr:row>
      <xdr:rowOff>152400</xdr:rowOff>
    </xdr:from>
    <xdr:to>
      <xdr:col>0</xdr:col>
      <xdr:colOff>209550</xdr:colOff>
      <xdr:row>10</xdr:row>
      <xdr:rowOff>276225</xdr:rowOff>
    </xdr:to>
    <xdr:pic macro="[5]!DesignIconClicked">
      <xdr:nvPicPr>
        <xdr:cNvPr id="10058" name="BExUCBG9H32O1YW1VK2CLCBXJY24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48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14</xdr:row>
      <xdr:rowOff>0</xdr:rowOff>
    </xdr:from>
    <xdr:to>
      <xdr:col>0</xdr:col>
      <xdr:colOff>285750</xdr:colOff>
      <xdr:row>14</xdr:row>
      <xdr:rowOff>123825</xdr:rowOff>
    </xdr:to>
    <xdr:pic macro="[5]!DesignIconClicked">
      <xdr:nvPicPr>
        <xdr:cNvPr id="10059" name="BExB5A1B1TGA5H11WN2314UMBV3E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848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13</xdr:row>
      <xdr:rowOff>0</xdr:rowOff>
    </xdr:from>
    <xdr:to>
      <xdr:col>0</xdr:col>
      <xdr:colOff>285750</xdr:colOff>
      <xdr:row>13</xdr:row>
      <xdr:rowOff>123825</xdr:rowOff>
    </xdr:to>
    <xdr:pic macro="[5]!DesignIconClicked">
      <xdr:nvPicPr>
        <xdr:cNvPr id="10060" name="BExETPOD06610RZ2LAPNO8P8G38L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672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10</xdr:row>
      <xdr:rowOff>0</xdr:rowOff>
    </xdr:from>
    <xdr:to>
      <xdr:col>0</xdr:col>
      <xdr:colOff>285750</xdr:colOff>
      <xdr:row>10</xdr:row>
      <xdr:rowOff>123825</xdr:rowOff>
    </xdr:to>
    <xdr:pic macro="[5]!DesignIconClicked">
      <xdr:nvPicPr>
        <xdr:cNvPr id="10061" name="BExGR7SXCMVII03UMCSOMFI4DDC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5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9</xdr:row>
      <xdr:rowOff>0</xdr:rowOff>
    </xdr:from>
    <xdr:to>
      <xdr:col>0</xdr:col>
      <xdr:colOff>285750</xdr:colOff>
      <xdr:row>9</xdr:row>
      <xdr:rowOff>123825</xdr:rowOff>
    </xdr:to>
    <xdr:pic macro="[5]!DesignIconClicked">
      <xdr:nvPicPr>
        <xdr:cNvPr id="10062" name="BExB08KFMLOGFODK41SMM51XCCS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5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30</xdr:row>
      <xdr:rowOff>9525</xdr:rowOff>
    </xdr:from>
    <xdr:to>
      <xdr:col>0</xdr:col>
      <xdr:colOff>285750</xdr:colOff>
      <xdr:row>30</xdr:row>
      <xdr:rowOff>133350</xdr:rowOff>
    </xdr:to>
    <xdr:pic macro="[5]!DesignIconClicked">
      <xdr:nvPicPr>
        <xdr:cNvPr id="10063" name="BExUC6NH1MGHQJJ4F3B8N9D9XAKB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810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8</xdr:row>
      <xdr:rowOff>0</xdr:rowOff>
    </xdr:from>
    <xdr:to>
      <xdr:col>0</xdr:col>
      <xdr:colOff>285750</xdr:colOff>
      <xdr:row>8</xdr:row>
      <xdr:rowOff>123825</xdr:rowOff>
    </xdr:to>
    <xdr:pic macro="[5]!DesignIconClicked">
      <xdr:nvPicPr>
        <xdr:cNvPr id="10064" name="BExZVY7AO0XLOJ9T75LB0X9GBE5O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337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7</xdr:row>
      <xdr:rowOff>9525</xdr:rowOff>
    </xdr:from>
    <xdr:to>
      <xdr:col>0</xdr:col>
      <xdr:colOff>285750</xdr:colOff>
      <xdr:row>7</xdr:row>
      <xdr:rowOff>133350</xdr:rowOff>
    </xdr:to>
    <xdr:pic macro="[5]!DesignIconClicked">
      <xdr:nvPicPr>
        <xdr:cNvPr id="10065" name="BExW1PIQC4SDAIHV377ZDURT7I5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43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6</xdr:row>
      <xdr:rowOff>0</xdr:rowOff>
    </xdr:from>
    <xdr:to>
      <xdr:col>0</xdr:col>
      <xdr:colOff>285750</xdr:colOff>
      <xdr:row>6</xdr:row>
      <xdr:rowOff>123825</xdr:rowOff>
    </xdr:to>
    <xdr:pic macro="[5]!DesignIconClicked">
      <xdr:nvPicPr>
        <xdr:cNvPr id="10066" name="BExAVXMAXPQ8D8T4YTUTLX00YOEC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3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</xdr:row>
      <xdr:rowOff>0</xdr:rowOff>
    </xdr:from>
    <xdr:to>
      <xdr:col>0</xdr:col>
      <xdr:colOff>285750</xdr:colOff>
      <xdr:row>5</xdr:row>
      <xdr:rowOff>123825</xdr:rowOff>
    </xdr:to>
    <xdr:pic macro="[5]!DesignIconClicked">
      <xdr:nvPicPr>
        <xdr:cNvPr id="10067" name="BEx5EFG17AKUCRO7AH6MH9SI2PQ3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336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27</xdr:row>
      <xdr:rowOff>0</xdr:rowOff>
    </xdr:from>
    <xdr:to>
      <xdr:col>0</xdr:col>
      <xdr:colOff>247650</xdr:colOff>
      <xdr:row>27</xdr:row>
      <xdr:rowOff>123825</xdr:rowOff>
    </xdr:to>
    <xdr:pic macro="[5]!DesignIconClicked">
      <xdr:nvPicPr>
        <xdr:cNvPr id="10068" name="BExO519099IZAP4CXPNGTZUGD1D6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39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19</xdr:row>
      <xdr:rowOff>0</xdr:rowOff>
    </xdr:from>
    <xdr:to>
      <xdr:col>0</xdr:col>
      <xdr:colOff>247650</xdr:colOff>
      <xdr:row>19</xdr:row>
      <xdr:rowOff>123825</xdr:rowOff>
    </xdr:to>
    <xdr:pic macro="[5]!DesignIconClicked">
      <xdr:nvPicPr>
        <xdr:cNvPr id="10069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191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70" name="BExGY4PB8G5IJAV355IADFNCG779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71" name="BExH18N5CCNWOSBDD6IO2358040Y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72" name="BExH09VJF00QC5Z67BE1711UQ8QV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73" name="BExB0ZZM4GEYXMJUIVJ2XVPM45S2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74" name="BEx5FD5REZYG1R7HELXXIZL7SQLN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12</xdr:row>
      <xdr:rowOff>0</xdr:rowOff>
    </xdr:from>
    <xdr:to>
      <xdr:col>0</xdr:col>
      <xdr:colOff>247650</xdr:colOff>
      <xdr:row>12</xdr:row>
      <xdr:rowOff>123825</xdr:rowOff>
    </xdr:to>
    <xdr:pic macro="[5]!DesignIconClicked">
      <xdr:nvPicPr>
        <xdr:cNvPr id="10075" name="BExVZFPA1QZAZ54CXF3H2EZ5TKXG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2672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10</xdr:row>
      <xdr:rowOff>152400</xdr:rowOff>
    </xdr:from>
    <xdr:to>
      <xdr:col>0</xdr:col>
      <xdr:colOff>209550</xdr:colOff>
      <xdr:row>10</xdr:row>
      <xdr:rowOff>276225</xdr:rowOff>
    </xdr:to>
    <xdr:pic macro="[5]!DesignIconClicked">
      <xdr:nvPicPr>
        <xdr:cNvPr id="10076" name="BExZQW4SB61F2T4KAM6D7VU2UODZ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6480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77" name="BExB4FX17XSRYLPRF8JFJXB8TNKV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4</xdr:row>
      <xdr:rowOff>0</xdr:rowOff>
    </xdr:from>
    <xdr:to>
      <xdr:col>0</xdr:col>
      <xdr:colOff>247650</xdr:colOff>
      <xdr:row>4</xdr:row>
      <xdr:rowOff>123825</xdr:rowOff>
    </xdr:to>
    <xdr:pic macro="[5]!DesignIconClicked">
      <xdr:nvPicPr>
        <xdr:cNvPr id="10078" name="BExGUYO21D1HF96DLHQLKTNJOLB9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4</xdr:row>
      <xdr:rowOff>0</xdr:rowOff>
    </xdr:from>
    <xdr:to>
      <xdr:col>0</xdr:col>
      <xdr:colOff>209550</xdr:colOff>
      <xdr:row>4</xdr:row>
      <xdr:rowOff>123825</xdr:rowOff>
    </xdr:to>
    <xdr:pic macro="[5]!DesignIconClicked">
      <xdr:nvPicPr>
        <xdr:cNvPr id="10079" name="BEx5KXYH6YZ2XM3YBX1W2FCN1ZD2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0</xdr:rowOff>
    </xdr:from>
    <xdr:to>
      <xdr:col>0</xdr:col>
      <xdr:colOff>171450</xdr:colOff>
      <xdr:row>4</xdr:row>
      <xdr:rowOff>123825</xdr:rowOff>
    </xdr:to>
    <xdr:pic macro="[5]!DesignIconClicked">
      <xdr:nvPicPr>
        <xdr:cNvPr id="10080" name="BExSD5OLK0Q587VXY1MZSVDLAKSJ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81" name="BExGWRP97NIUGBARI1FLA3NN05W0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</xdr:row>
      <xdr:rowOff>0</xdr:rowOff>
    </xdr:from>
    <xdr:to>
      <xdr:col>0</xdr:col>
      <xdr:colOff>133350</xdr:colOff>
      <xdr:row>4</xdr:row>
      <xdr:rowOff>123825</xdr:rowOff>
    </xdr:to>
    <xdr:pic macro="[5]!DesignIconClicked">
      <xdr:nvPicPr>
        <xdr:cNvPr id="10082" name="BEx1KC0CHTTX18DE9X4APPHG1QHT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47625</xdr:colOff>
      <xdr:row>43</xdr:row>
      <xdr:rowOff>0</xdr:rowOff>
    </xdr:from>
    <xdr:to>
      <xdr:col>0</xdr:col>
      <xdr:colOff>171450</xdr:colOff>
      <xdr:row>43</xdr:row>
      <xdr:rowOff>123825</xdr:rowOff>
    </xdr:to>
    <xdr:pic macro="[5]!DesignIconClicked">
      <xdr:nvPicPr>
        <xdr:cNvPr id="10083" name="BExXRW7MHBF6MM9LGFVCD01DB5A1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113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</xdr:row>
      <xdr:rowOff>0</xdr:rowOff>
    </xdr:from>
    <xdr:to>
      <xdr:col>0</xdr:col>
      <xdr:colOff>285750</xdr:colOff>
      <xdr:row>4</xdr:row>
      <xdr:rowOff>123825</xdr:rowOff>
    </xdr:to>
    <xdr:pic macro="[5]!DesignIconClicked">
      <xdr:nvPicPr>
        <xdr:cNvPr id="10084" name="BEx1TGBT77858K8SQ7A6WR2MO5J7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167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085" name="BExUAC9OOCSZQU760F2SRU7U726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086" name="BEx1N0IG4EAY7FAR6Z2SBTHQLCI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087" name="BEx3GJTY5IUNOWJT708JBU97EC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088" name="BExUBMF9ISOKZ3Y7LJNX2WFE8J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089" name="BEx5K86L3ZQ52U1JIVRMICAHC5L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090" name="BEx8ZWOW98WRN85Y9W7R60HQ7E1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091" name="BEx3HR4YKN26Q1VKILZF3UQNY2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092" name="BExU9X4UO64T8D14POQITX4ZFM5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093" name="BExS3I6LRMBNOKX066M0VAZSSXJ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094" name="BExIVM2X7S6BLPGFWUU3QY3F2U7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095" name="BExMKKLPOO347XN4R5DCTZEI8TD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096" name="BExMFEHP0OFF7IGCE69ETW7W1LS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097" name="BExU222L0Z8912DQ1BFKEE51XFA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098" name="BExIPN735Q3EDQ9LVE7HYUKMCM1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099" name="BExIYLTK6C39UIAZBCI58CAXXU8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00" name="BEx3HQE1HT751JPT8NDS2H5Q41Y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01" name="BEx7ASD1N2SO813945ANT4EPUMY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02" name="BEx96ISU3VR5F5D43UP21J272N2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03" name="BExO856V9DWQTFTLS82X13IMV6F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04" name="BExKKYSUZ7U257SUJPKBD75XPS9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05" name="BExEUPCBL8Q5BCCLG40WD5VJKJX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06" name="BExB2MVPW8UGTS5XHMDHUICWUA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07" name="BExY2HVNTE00LGM8OD05G2Z6UGF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08" name="BEx5ADSE711740VACRG0XLXPRHU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09" name="BExGMP2FDKOFJEZ83GU2MXQGXBI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10" name="BEx1V8BC1QXO9WPP3DG1NQLNGG4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11" name="BEx9CT2QLK2N4P3ND5FALH9YDEJ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12" name="BEx56NIRV0EWMNOW9FJ5QFCVY8ZI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13" name="BExAWWDXUWSBZUS72QEJUW79LKM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14" name="BExIVAZPKVXYLL98RSA3MHZNN8Y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15" name="BExQKDHFT5EH6J376M1CM6RG12V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16" name="BExQIUC6WZKR2T9GQXY4UARORDD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17" name="BExB0A2E00DP21SL7U2D5GR3Q2V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18" name="BEx3HYMOZ72YE41P1RKCWDBDQN5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19" name="BExGWU92F4OLZBIYW5UNHI12RPJ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20" name="BExU69PUP19864R3QHFMMOJXXTK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21" name="BExVVXJ0GDNX7I7VPVVRJJ0CAK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22" name="BExGRP6OUI40NIWOSONBHDJPJQ9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23" name="BExIOHOSQ5Q5LIVSDGLSISVSVAQ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24" name="BExVUSX45G86X7M2UABKXGZPUCN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25" name="BExIR8L72JRQ9K4X2UQD15XI9SY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26" name="BExB9Z2D4LKE00TZ08UUFXA7Y8S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27" name="BExMM1SRUS38UY4VIH29AIB8EG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28" name="BExD6JMKZGRUXVWWEJMO4RN45PL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29" name="BExZV6BTEOTE74E0BF4U16NM85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30" name="BExGN3035WSFV9DE9U454BLXO15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31" name="BEx5GFO62Y9PARRH8IWHQ60JWJZ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32" name="BExQ6RBQ7B0570L4KO1GV64YXM7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33" name="BEx7H4VQ8V5ZTF9GG4M1NY33FWF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34" name="BEx3POLO88GRMQK2C8ORFCK2PW3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35" name="BExY4PG2YNK3VUAR8YU2EY0WK0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36" name="BExW0N5NRKEIESKN6DEZ4VJQZVH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37" name="BExU3FO1CPG9SE61XXJI4GRIVFU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38" name="BExUARUQ2TV4XHK3OTLYD6E6ORQ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39" name="BEx9DUU7KPC0KZCTTWJREUN4PTB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40" name="BExQEER39JFTKKABBLXZDYX0LR7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41" name="BExQ5YPEU8ZY8UPG3K2B26E9SSM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42" name="BExAXVWF32XXY4AS702LPDA7V31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43" name="BExB0ATG6LFFMC55F4RCZJKQDWP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44" name="BExD6AHFZKCE9WEFDVNB5A8A2EP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45" name="BExH2U6KRV6G2669FOKH05UJG6J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46" name="BExGTL7TF2ZPX9TBK887MW0IMQB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47" name="BExVRYVAGJ8E16MMH2X54TKMQ1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48" name="BExAXLKB1Z9DA70IJI38BCVXJIE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49" name="BExCY0FPGP9A4ZMNTRQ5P7Q28ZO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50" name="BExXYVT3RPOIYA773E4OS5QQVUZ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51" name="BExCXQOZ0AD5Z20OLC9YODON4PC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52" name="BExSFDURROWJL5VXLG7Y3M9IF5L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53" name="BExCW4P7WUYENL5W2JYIY2ALOY8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54" name="BExKE98R12CMJU7N7CC2GHPYYH1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55" name="BExXOBSC5JWZXF9VA2WQFLK2W4G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56" name="BExIWXA8L4M8M9HHI44CDAON1T0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57" name="BExY3D1LYDBTEW2FA3ZJ0K44UG3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58" name="BEx58YOUHC5ST71NW3OYYNUPE7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59" name="BExTV62EXO0G3IXN5M1V6XF4HAR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60" name="BExKESFA3NZZFSZ4OL5920RRWMF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61" name="BExU6T1PDB9XNC26PE9USP14BMW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62" name="BExD8FNOV2Y2M2IKCOXNFR0JDI9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63" name="BEx5C79UFZPSFBVW3T97OQBA72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64" name="BExIIPZWVLQLSFWF23IWQFSVMNNG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65" name="BExF4LJ8RSB7QTNIFZNH30FU2HQ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66" name="BExOF0FVGXDV2HF13MOQ2XTISU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67" name="BExU53RAKE6S0WP7YPKBG0OW0PA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68" name="BEx91MA34BAI77XHJ6SIXLYKJRY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69" name="BEx1I0JHIH1PWTQMZKQO45BWAK2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70" name="BExVVW12FZH8994VQA3LR6R1NT5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71" name="BExIJ5KZC9R5QJXNAR4P2173NZ3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72" name="BEx94LKL68J35CPWLX84WZQMR51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73" name="BExKNC2F7VNI0TH20OLI7L1K9FV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74" name="BExJ04YUKWNPC0VWG4CDRDOF7WT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75" name="BExY1QR4OUZY1CLPLL4S2X38HJB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76" name="BExD2EOATC8DXBBMIC827RN47G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77" name="BEx7EIRZ2F7YT65B6MHUXMRA13X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78" name="BExD3S9W5U1R0R1YZMLB15NUT9P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79" name="BExKW0NJS94KFKD7YC5QSVFFGVV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80" name="BExKD7BXXGRHCAC9VWX54DEMWUF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81" name="BExMP6HJ7WX90T81XL9U8CZGRRM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82" name="BEx75VU8LOLZKH6OLB38T1QI9FF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83" name="BExMPIX91RZTFIHEEBKQ69O4UYV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84" name="BEx3U3FVKDLBKT5XN0DVSNM2TSM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85" name="BEx78E1RSSNVTL33QVSRGSW61DI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86" name="BEx3OC1SMOYJF1QNET0W9XC5UP8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87" name="BExZWNZ6E7BSJR7SCIZMN529E1L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88" name="BExMEK7WQ7MEOEVZSBYBHQ6FUOY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89" name="BExGPA9VQ0JBB563KH9H91GZAFN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190" name="BExU6C45YWVA64NQ1TUQ94Y550W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91" name="BExZSM6415LT0FAO0LV0O27AXUT5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192" name="BExU2QCF3HX3J3MNJX45VKSKHJ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93" name="BExU3WG97ZOR1OOT9288M4T3NKX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194" name="BExXZYMB77BFSMMBAN7HU6SLTH2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95" name="BExMR4GUFK3JO1B9YPXAWNHG9AD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196" name="BExKRC2MTS5XY81T977FAB4EWXO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97" name="BEx775JMJJM8EU2Y3ZX19I0264X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198" name="BExS2A4IBTZOB04UYJ6ROKSRI0Y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199" name="BExMFV9VZ3QR86Y3UZ0QLXUMUE0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00" name="BExVVZ0YBNGX46HGNP91J64IP9Y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01" name="BExUCO6R4RTQB9ZEXB71EZLE1HI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02" name="BExVQJ65SGTBDM98LSMO6O4TIJK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03" name="BExXVQITVGYDIHRCQIDIO0T6YMH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04" name="BExMCFN89VAS4X456PPUCV9272X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05" name="BExCXYHI8Q7YBBF6S9XSDZ7J4E8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06" name="BExB9NDKJYUAW7AVDCGRPN7F0K1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07" name="BExB8EVDIA1RFJBH4GSHTYEIY6R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08" name="BEx5MIWCRD9PHT3YY7KP0NBRESR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09" name="BEx3BE60FR1NC7ORL2VSHYCWAZ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10" name="BExMGNLGI6IA9G0SWJ340INGQSW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11" name="BExUA6Q45Z6V2OGGNG4PHM9QR1U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12" name="BExMQ3LQ27NBJ760ERWXICFNVUR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13" name="BExOKIE5UZDKKK9283PEAVCJKYY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14" name="BExS35FWZUG6RTGSRODT1ILT5IX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15" name="BExGZJ7AIR30J9K49W727YYLJUV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16" name="BExZUXC61AIXU4YAA16KJMWTZB6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17" name="BExQLM54BSKJ8YUA54704BT4MSB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18" name="BExOOCEK7KKUM1EH6FIO06WJJWX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19" name="BEx5C62P2VAVJGCUJJ67HMBYZ1G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20" name="BEx9EKGNZLAWSMZLCQCL2M8QT09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21" name="BExD99H683B50MID9LSERU7CLK0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22" name="BExIOG6UPC8UOA2LY7RNTZI7UDR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23" name="BExM9R55VW7IM3JSUD0NQF5KCC6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24" name="BExD18KH10ARI1BUA3X8HHCY9AP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25" name="BExKIZME9JIAK16PV756CJNR4C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26" name="BExITZ1DMZT0415F63L4CU3R7C9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27" name="BEx1LBYWEM6FI6V1C6T1WW0V3IP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28" name="BExBD4NH04C0AZXIMD3OENNU3GI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29" name="BExZZJTKDKWNULJ76K8HJ864ZO3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30" name="BEx3N4LF991ZJ2T4R0A8XX8ENJH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31" name="BEx9GVMPULVJPSX4X1AFOOVSCOU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32" name="BEx1PR9DUK1EFDQQVHCC2JUUFRU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33" name="BEx97CBKTYCZWQ1OB2IUVI7J0Z1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34" name="BEx96PUHWDQSYQGFV32OAGGMSO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35" name="BExIXQCT0025Q7Q6321CH8209SK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36" name="BExO7P07ZW1ME5HGMDLAX65KGAE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37" name="BExF6A835YIAGFE95DGU4RW6025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38" name="BExIPRZQG5GAUXLO9XBA37B6JNO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39" name="BEx934Z364GGX87KQRMF52H6NTS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40" name="BExGNZYXU9F2SYX40CMAA1GPIWY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41" name="BExU4LBSXPETS1NZBUBJGIYYKNY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42" name="BExVSOHVOXOSSDUJQ1G6R7QBPMGL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43" name="BExCT5K6T448OSARAVWT67TCP72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44" name="BExVUNIV797Y5W82KA205AMMLCK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45" name="BEx7D1FKMQJ5GYYDB2QJKDWSNZM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46" name="BEx96HR65D66X59P5BKJXZT1FYB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47" name="BEx58GUXX2W6F734K4LX1SA0SXG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48" name="BExKPOVQQO6L5T9UA4I1QGXWH6QK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49" name="BEx9EYEATKP6SVHWQEQRZ7UDIUM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50" name="BExESCOBWNSF8LLWUEAY2WIO5G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51" name="BExQAU0ZUPT9SYO81AG45OA50ZG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52" name="BExIVTPYIMH1I53ZMKQ64QK7O3R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53" name="BEx3PCRFFVR1QRRHPSRG20YW99K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54" name="BExCZGKXQO60ZB0CIBXI3X8F6I3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55" name="BExF7V0N3ECL6WRA5O8JCRCOOMJ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56" name="BExONDCBTR2NA4XQ78Z1MGZIKQE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57" name="BEx3RTX9C9AS1FG8CEBB0HKG9X6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58" name="BExF2LWJB6AZR1GBURVQPL0F8FN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59" name="BExINH4H4ZOTBZ7MOMJ3MYX8WLI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60" name="BEx5M29NFG1VJWJLIL7MZRNPJTD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61" name="BEx753YSB4I743C6SUUUV31TSCT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62" name="BExF0PVFZ6S62TQAY4WIX57UXU1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63" name="BExD16M8HGCB6F8GWNXWVCWCLPI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64" name="BEx3J6ON3C19UR2HN7LVHNSIFJ3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65" name="BEx1NBQYCWQI1G83BIFIZNJCGZO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66" name="BExKPPS5LRL35FHQSUJM3GG60BJ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67" name="BExQICNLQ32TJEI50SPKUO7YV3D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68" name="BExEOTWHEEQ00UD4PFDQP0MK1IM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69" name="BExOCW63XB5O6A317Y0MJXVBG14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70" name="BExXVVRJM6XE7PAOB3DF8N0UNGE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71" name="BExZX2NPMH9HKLVI2O4MVGM46IT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72" name="BExIPH1SUTESK9Q7RR2PYITVY50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73" name="BExVXGITDZTCBFDB4UFIT8C6F5NS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28575</xdr:colOff>
      <xdr:row>4</xdr:row>
      <xdr:rowOff>0</xdr:rowOff>
    </xdr:from>
    <xdr:to>
      <xdr:col>2</xdr:col>
      <xdr:colOff>76200</xdr:colOff>
      <xdr:row>4</xdr:row>
      <xdr:rowOff>47625</xdr:rowOff>
    </xdr:to>
    <xdr:pic macro="[5]!DesignIconClicked">
      <xdr:nvPicPr>
        <xdr:cNvPr id="10274" name="BExD3QH5D9IWS7P8KDO3B7R0Q0F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75" name="BEx5C8XB4VA28RJIFCXYKVB8NV2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276" name="BExD4RCADFVG8W49B9VNL1R9KP0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77" name="BEx9BS7QTM771DXOMG8IEXAD179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78" name="BExMEWCUCT29GR27WFQI8VUB6X6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79" name="BExVV15W6J9G7WRX6FUUYKAN3CE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80" name="BExAZDP4A8YYYD3WKG2FDS3UH5J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81" name="BExQD3ZWUQUF335N5YJ7BZYU90D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82" name="BExMHKK5VIU10487F6BG69M8XGA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83" name="BExMNBCOFYBV2X8E2TW0VL70PX7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84" name="BExZZOX023OSUXGGO956KX09FUC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85" name="BExZOPGKZW8VGWCP78X2O5Q1BT0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86" name="BExQDI30NC1W9WTD1BL273CWO8C4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287" name="BExB6U2TQT9MSROLENGXDK8AIDR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288" name="BExMB4AN2FJFR3CPX8W021CKPJ0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4</xdr:row>
      <xdr:rowOff>0</xdr:rowOff>
    </xdr:from>
    <xdr:to>
      <xdr:col>3</xdr:col>
      <xdr:colOff>66675</xdr:colOff>
      <xdr:row>4</xdr:row>
      <xdr:rowOff>47625</xdr:rowOff>
    </xdr:to>
    <xdr:pic macro="[5]!DesignIconClicked">
      <xdr:nvPicPr>
        <xdr:cNvPr id="10289" name="BEx1I3DXUYG6LPV48CKPQNY9UDF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19050</xdr:colOff>
      <xdr:row>4</xdr:row>
      <xdr:rowOff>0</xdr:rowOff>
    </xdr:from>
    <xdr:to>
      <xdr:col>3</xdr:col>
      <xdr:colOff>66675</xdr:colOff>
      <xdr:row>4</xdr:row>
      <xdr:rowOff>47625</xdr:rowOff>
    </xdr:to>
    <xdr:pic macro="[5]!DesignIconClicked">
      <xdr:nvPicPr>
        <xdr:cNvPr id="10290" name="BExIU516QJQM75VXOTVDS4MQ0FF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91" name="BExB4CWZP3OH1ZRDCGU7BU6ABKT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19050</xdr:colOff>
      <xdr:row>4</xdr:row>
      <xdr:rowOff>0</xdr:rowOff>
    </xdr:from>
    <xdr:to>
      <xdr:col>4</xdr:col>
      <xdr:colOff>66675</xdr:colOff>
      <xdr:row>4</xdr:row>
      <xdr:rowOff>47625</xdr:rowOff>
    </xdr:to>
    <xdr:pic macro="[5]!DesignIconClicked">
      <xdr:nvPicPr>
        <xdr:cNvPr id="10292" name="BExF8YFCZ81RWJN2D04AC52LXZS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93" name="BExZO2OL9V5OWU9O43SMHX332N2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294" name="BEx1WVT0BP5M6I1J1YKFUJU6PQJ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95" name="BExZURN5GBBEPWRHCQIQR81AUNG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296" name="BEx3UWTA08I8XTHM8QBFZGV4DVH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97" name="BExB40XKM2XTGGLS4GV6HWX9MEN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98" name="BExGTGVDPZIQHUIET4I9WA68BXX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299" name="BExO7VARMR54ZQ5OB9DGTUIVQH3Z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00" name="BExUBZ0F9XB8SCOEJ1XF7NYKRBR7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01" name="BExIY0E69H0IQXR5VU94KQUAF9Q6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02" name="BExMJF8QNIXPXFFQ134OZS8AGZ9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03" name="BExOIWZZZQVTBD2AXIWOFDWBPB8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04" name="BExW0B0Q690PWADHFYU81LVRZYFO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05" name="BEx9G05SB2KAV7DQJ0K97ERSG3Y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06" name="BEx1F8L8OLTWY58V0H7YZ8SJ9N9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07" name="BEx7741NSOYV7JG6JPW40RMI19G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08" name="BExOLLI51Y77G871V0CVFSEEM3A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09" name="BExQF5VG7WN5F78WWVPSPFNXPQO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10" name="BExKMDG5M8HUN3RNKUBN5PC0KDC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11" name="BExIL9UN4TPQAOQJKOE6RIG8JG7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12" name="BExKKJ2HNYZMN3FXNN45P3MOBRI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13" name="BExMD7THEQJZC5MB496EF8E26CXE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14" name="BExGKTBZ2YSBH2TYG7WBMENB1DC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15" name="BEx7AYSXE6I740SS45DJ4W45SI6I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16" name="BEx1XP0X59LF3WM0W1G50E2EMJ3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17" name="BExGVNJM6FSD3WAGD3MJ548ZOE7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18" name="BExB4FRKOP2390AJ6VIKYPS1EKJ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19" name="BExIROX5ZN4RURNO5E78ZIT6JC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20" name="BEx5KTWXPDNUQPMPJ46VR0EBZMN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21" name="BEx3IUP75L6UQ9ZZM5I4ZLA1W6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22" name="BExMONRB19XQY75XA4F1DF2OENU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23" name="BExQ4DWVEQDXM8R8YWXXUD6TSY0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24" name="BExUBES6EVKJWQMSKTGNHSDZX8G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25" name="BExZMOMVRU5ADZVGVWZ6LZPLABBM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26" name="BExINBFGHGBFE1AL1VOPSZ1S505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27" name="BExOLG3WMYI6TIBIL3TCFYH3EJF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28" name="BEx1JSOARLIH3KPV27ZM94VDRCC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29" name="BExB1EO9SSWU68G3K4669X9NKB8G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30" name="BEx1P7XI9MRKLFGF2GDCIR4EYC9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31" name="BExUAGGOVT0U0K3MD3N7ZS8TZB52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32" name="BExW5ZV69G3F6NHPW4X1YWEV01T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33" name="BEx1W6RYCNF0TRLR47MKX7MDJQ9J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34" name="BExZQ67KSWULXA55KFOJEOA1461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35" name="BEx75T5526WNFBQFN3SYTL5LS4V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36" name="BEx9JSIWXQXNMU8U1G8JR5HCBXU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37" name="BExTZDKB29WDS4DEI8Y1XT55YJIU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38" name="BExDCHWVN1RM0RIF899GG0619639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39" name="BEx1KACVSIWT1HED51IGD3U63M1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40" name="BEx3HSHM1C5L44PISTLJFBPS44M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41" name="BExMTF1CE6CTDLSX7FSKJ8RENE1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42" name="BExD8BWRH5KSKBFFQIRNTZR90US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43" name="BEx1O60PJ1SB220VXJH5MKIDKFK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44" name="BExH3ZJJ2JTPJK8NTPPZQAHNU89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45" name="BExO9BG2CMQYKX7L42NIX5XBSML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46" name="BExSB4PCZKY27K48EK2IV2LY8U1Z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47" name="BExF51KF4DTLXX0ZYMA5SWDWETE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48" name="BExXQPY9ZFOBMBBBW3ZKT5GA6VSA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49" name="BExTW18KF9S6F5B6J27K2YK4TKF9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50" name="BExQCBTP2IXLTLMXH5L1MELFVXW5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51" name="BExH133GXJ76HHK6MHJX1MZYX41B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52" name="BEx3JVPMKC856EE8RHIYGY4XSVRD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53" name="BExF7LVHHB3PXG2FVTYZG7Y2G6VC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54" name="BExS1GLSES10W6TF6NG1XT9995B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55" name="BExKHFA5R9NV0MLLL2XKY1C9CRR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56" name="BEx3P3MFDRGTTY7XE5QVH9POGYW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57" name="BExOLO1VKK2NAZLM6MJI4O4ISYQK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58" name="BExBF6896I0FDV9M9DKJRRST65U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59" name="BExOHU1ILGXWVAMN5J4IXI1J49N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60" name="BEx7E96PBNIUQ2FS78OZ9VQO742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61" name="BExCTQ368R3WNMKPZS5W5CUP1HK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62" name="BEx98OQ55JZYSY5AH2QPY957R5N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63" name="BExQE5WP78VIARU47O5LUE6HZ8X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64" name="BExTYHCJ2UWJKBPAY2BISGA6T8W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65" name="BEx1X88NJGRAOCE1MQTCOCCL3B9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66" name="BExQ87MFU6E6HBQLE6YL7YY7S0GR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67" name="BExRZCXI4KF182PK5GSAYU5067OP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68" name="BEx7J65RNEF3MS96FMUBD5Q6I9Y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69" name="BEx3G8W6Q4WU5K4T0M7QJC3HW5E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70" name="BExGX68HM7DD6M56RXQANFWCIMWN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71" name="BEx8ZW3BRQ5XVT7WJI1AAAAUUCDX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72" name="BEx5N34S7II19WTHG0JD83L2PFFB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73" name="BExZVNPN2ND6DJ4KJ2G6GS243G5H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74" name="BExZJV6O3HOOEWF2OVHVPSAQY1VM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75" name="BExGNJ6P36NWA030XSJXZ80JP07Q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76" name="BEx94IQ83J8J42TH9NQEKP9RXA0X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77" name="BExKS9SE4YM0OJBJAISXKB19UX5O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78" name="BExEVED611YO1TS65I4WJ7S6CSDJ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79" name="BExGT0UA3JE09R6S8F17DXZQ5I0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80" name="BExW0SUMXRG6U8DEG0ZG3GGDNMT3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81" name="BExZXEY2DR0MB0JT68V0VYVPETB3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82" name="BExIKIKYBLVE7YGJFPK8SP4NU2V2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83" name="BExOG9P1V7JLOZVF5HX0PAH30HL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84" name="BEx5JUUJ4499X967HD2QF2K99CG8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85" name="BExQB29M8F05L4PJIZAMF87ST0PY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86" name="BExUCLC59LLS6V0LL7CFQW5LJSH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87" name="BExIT8YT6MM000K2A6ARKITFB1SL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388" name="BExVTCMEQ1PBEKQM80ER8H076DCC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89" name="BEx3S147CPWBMROC6BYF4TMQYRAF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390" name="BExU2PWAFTTNM6SJA47YRACSWRT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91" name="BEx5C5H4ORFPNWGJLJ8KL9PJA5B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392" name="BEx1NIN49INHTLN506JH4QRSOJE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93" name="BEx3C5QNHHLVZN6KGNJ6SCH110Z1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394" name="BExOJKOEZDOTR6DA7I781N48XBH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95" name="BEx5HWV84KZG22DVBKLTWXV5Z0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96" name="BEx59X5MIECJG60XRZ0R7CBDFUFF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97" name="BExS2G9RYF0EBIPHJCT070YASCM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398" name="BEx90Q2A4MFNEYKKXUXT84EMJLA0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399" name="BEx3MWCMHPIUUAY8F1RTQHL7YJ8N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400" name="BExXMZ8JN07PNWY0M9VMMRXF5YG6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401" name="BExMGRHOLCNDMTPHQQJ11C07RJ6D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402" name="BExU4OXAQYCRL76BLWOQ7ZPBS9WS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403" name="BExMDI0BM6A0XONA2W3M8GBT6MFA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404" name="BExJ1JMA7U8LGNJ64Y7YBCD14Z7T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405" name="BExUCKAHZ71RCE5TUKPLOXFEX1P8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406" name="BExU7RIHTB5DY6N4P0JQ732JGMD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407" name="BExD049AII666PG131Y732DZHYM7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408" name="BExQ4LUTRMU3VNZEQA1IXL5DFJ7V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09" name="BExCZBC1MQW1XFWLW5B91WWMBTK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10" name="BExOFWICCDKTTERB9HNINIKDIGHH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11" name="BExVZXJ7POZ1B87D4J9V621V7D2R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12" name="BExMF93HLBHLLPVCTARDBFMTS2DU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413" name="BEx9C2PE5E4DSS2PUTHR59FNTNP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19050</xdr:colOff>
      <xdr:row>4</xdr:row>
      <xdr:rowOff>0</xdr:rowOff>
    </xdr:from>
    <xdr:to>
      <xdr:col>2</xdr:col>
      <xdr:colOff>66675</xdr:colOff>
      <xdr:row>4</xdr:row>
      <xdr:rowOff>47625</xdr:rowOff>
    </xdr:to>
    <xdr:pic macro="[5]!DesignIconClicked">
      <xdr:nvPicPr>
        <xdr:cNvPr id="10414" name="BEx1WX5HG1NXPKOG2LBNXQHDQRRY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415" name="BExS773IYRRHVRF74TI1LXBBRPC0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28575</xdr:colOff>
      <xdr:row>4</xdr:row>
      <xdr:rowOff>0</xdr:rowOff>
    </xdr:from>
    <xdr:to>
      <xdr:col>3</xdr:col>
      <xdr:colOff>76200</xdr:colOff>
      <xdr:row>4</xdr:row>
      <xdr:rowOff>47625</xdr:rowOff>
    </xdr:to>
    <xdr:pic macro="[5]!DesignIconClicked">
      <xdr:nvPicPr>
        <xdr:cNvPr id="10416" name="BExQFB9OTIH6RFHXJ3QM5VN9ZPFQ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417" name="BEx3W79OP9E40JCUTTVI1QBCZV64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28575</xdr:colOff>
      <xdr:row>4</xdr:row>
      <xdr:rowOff>0</xdr:rowOff>
    </xdr:from>
    <xdr:to>
      <xdr:col>4</xdr:col>
      <xdr:colOff>76200</xdr:colOff>
      <xdr:row>4</xdr:row>
      <xdr:rowOff>47625</xdr:rowOff>
    </xdr:to>
    <xdr:pic macro="[5]!DesignIconClicked">
      <xdr:nvPicPr>
        <xdr:cNvPr id="10418" name="BExIX99SDTJWULIFB1JLOFE333LW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419" name="BExVSTFSZN4MPMUXIH4RZNS0MAWW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5</xdr:col>
      <xdr:colOff>19050</xdr:colOff>
      <xdr:row>4</xdr:row>
      <xdr:rowOff>0</xdr:rowOff>
    </xdr:from>
    <xdr:to>
      <xdr:col>5</xdr:col>
      <xdr:colOff>66675</xdr:colOff>
      <xdr:row>4</xdr:row>
      <xdr:rowOff>47625</xdr:rowOff>
    </xdr:to>
    <xdr:pic macro="[5]!DesignIconClicked">
      <xdr:nvPicPr>
        <xdr:cNvPr id="10420" name="BExVQ1SD2N9MGJUCDVS0BBYKWLHP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421" name="BExZJG1WJ00N974B3IDXBZLBYOLV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4</xdr:row>
      <xdr:rowOff>0</xdr:rowOff>
    </xdr:from>
    <xdr:to>
      <xdr:col>0</xdr:col>
      <xdr:colOff>76200</xdr:colOff>
      <xdr:row>4</xdr:row>
      <xdr:rowOff>47625</xdr:rowOff>
    </xdr:to>
    <xdr:pic macro="[5]!DesignIconClicked">
      <xdr:nvPicPr>
        <xdr:cNvPr id="10422" name="BEx3EEI79F60GXT5Z477HO7MW7L1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23" name="BExVZ5T87CA0F441BHMSZDO2QF0T" descr="SortA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28575</xdr:colOff>
      <xdr:row>4</xdr:row>
      <xdr:rowOff>0</xdr:rowOff>
    </xdr:from>
    <xdr:to>
      <xdr:col>1</xdr:col>
      <xdr:colOff>76200</xdr:colOff>
      <xdr:row>4</xdr:row>
      <xdr:rowOff>47625</xdr:rowOff>
    </xdr:to>
    <xdr:pic macro="[5]!DesignIconClicked">
      <xdr:nvPicPr>
        <xdr:cNvPr id="10424" name="BExBAYFIK9KSR8PKEF1TNUX9UAZE" descr="SortDescending" hidden="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971675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20</xdr:row>
      <xdr:rowOff>0</xdr:rowOff>
    </xdr:from>
    <xdr:to>
      <xdr:col>0</xdr:col>
      <xdr:colOff>285750</xdr:colOff>
      <xdr:row>20</xdr:row>
      <xdr:rowOff>123825</xdr:rowOff>
    </xdr:to>
    <xdr:pic macro="[5]!DesignIconClicked">
      <xdr:nvPicPr>
        <xdr:cNvPr id="10425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762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20</xdr:row>
      <xdr:rowOff>0</xdr:rowOff>
    </xdr:from>
    <xdr:to>
      <xdr:col>0</xdr:col>
      <xdr:colOff>247650</xdr:colOff>
      <xdr:row>20</xdr:row>
      <xdr:rowOff>123825</xdr:rowOff>
    </xdr:to>
    <xdr:pic macro="[5]!DesignIconClicked">
      <xdr:nvPicPr>
        <xdr:cNvPr id="10426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7627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21</xdr:row>
      <xdr:rowOff>0</xdr:rowOff>
    </xdr:from>
    <xdr:to>
      <xdr:col>0</xdr:col>
      <xdr:colOff>285750</xdr:colOff>
      <xdr:row>21</xdr:row>
      <xdr:rowOff>123825</xdr:rowOff>
    </xdr:to>
    <xdr:pic macro="[5]!DesignIconClicked">
      <xdr:nvPicPr>
        <xdr:cNvPr id="10427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95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21</xdr:row>
      <xdr:rowOff>0</xdr:rowOff>
    </xdr:from>
    <xdr:to>
      <xdr:col>0</xdr:col>
      <xdr:colOff>247650</xdr:colOff>
      <xdr:row>21</xdr:row>
      <xdr:rowOff>123825</xdr:rowOff>
    </xdr:to>
    <xdr:pic macro="[5]!DesignIconClicked">
      <xdr:nvPicPr>
        <xdr:cNvPr id="10428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953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22</xdr:row>
      <xdr:rowOff>0</xdr:rowOff>
    </xdr:from>
    <xdr:to>
      <xdr:col>0</xdr:col>
      <xdr:colOff>285750</xdr:colOff>
      <xdr:row>22</xdr:row>
      <xdr:rowOff>123825</xdr:rowOff>
    </xdr:to>
    <xdr:pic macro="[5]!DesignIconClicked">
      <xdr:nvPicPr>
        <xdr:cNvPr id="10429" name="BExVU23GSGWIIYI7F5ZRNFLU70J5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334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22</xdr:row>
      <xdr:rowOff>0</xdr:rowOff>
    </xdr:from>
    <xdr:to>
      <xdr:col>0</xdr:col>
      <xdr:colOff>247650</xdr:colOff>
      <xdr:row>22</xdr:row>
      <xdr:rowOff>123825</xdr:rowOff>
    </xdr:to>
    <xdr:pic macro="[5]!DesignIconClicked">
      <xdr:nvPicPr>
        <xdr:cNvPr id="10430" name="BEx98R4AJQ6ZUPODC7BZG6TNX4KR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3342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50</xdr:row>
      <xdr:rowOff>0</xdr:rowOff>
    </xdr:from>
    <xdr:to>
      <xdr:col>0</xdr:col>
      <xdr:colOff>285750</xdr:colOff>
      <xdr:row>50</xdr:row>
      <xdr:rowOff>123825</xdr:rowOff>
    </xdr:to>
    <xdr:pic macro="[5]!DesignIconClicked">
      <xdr:nvPicPr>
        <xdr:cNvPr id="10431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773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50</xdr:row>
      <xdr:rowOff>0</xdr:rowOff>
    </xdr:from>
    <xdr:to>
      <xdr:col>0</xdr:col>
      <xdr:colOff>323850</xdr:colOff>
      <xdr:row>50</xdr:row>
      <xdr:rowOff>123825</xdr:rowOff>
    </xdr:to>
    <xdr:pic macro="[5]!DesignIconClicked">
      <xdr:nvPicPr>
        <xdr:cNvPr id="10432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77340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51</xdr:row>
      <xdr:rowOff>0</xdr:rowOff>
    </xdr:from>
    <xdr:to>
      <xdr:col>0</xdr:col>
      <xdr:colOff>285750</xdr:colOff>
      <xdr:row>51</xdr:row>
      <xdr:rowOff>123825</xdr:rowOff>
    </xdr:to>
    <xdr:pic macro="[5]!DesignIconClicked">
      <xdr:nvPicPr>
        <xdr:cNvPr id="10433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97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51</xdr:row>
      <xdr:rowOff>0</xdr:rowOff>
    </xdr:from>
    <xdr:to>
      <xdr:col>0</xdr:col>
      <xdr:colOff>323850</xdr:colOff>
      <xdr:row>51</xdr:row>
      <xdr:rowOff>123825</xdr:rowOff>
    </xdr:to>
    <xdr:pic macro="[5]!DesignIconClicked">
      <xdr:nvPicPr>
        <xdr:cNvPr id="10434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973425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52</xdr:row>
      <xdr:rowOff>0</xdr:rowOff>
    </xdr:from>
    <xdr:to>
      <xdr:col>0</xdr:col>
      <xdr:colOff>285750</xdr:colOff>
      <xdr:row>52</xdr:row>
      <xdr:rowOff>85725</xdr:rowOff>
    </xdr:to>
    <xdr:pic macro="[5]!DesignIconClicked">
      <xdr:nvPicPr>
        <xdr:cNvPr id="10435" name="BEx56IFDU0OMG91BK4FJM8IYMLLI" descr="Expanded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1639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52</xdr:row>
      <xdr:rowOff>0</xdr:rowOff>
    </xdr:from>
    <xdr:to>
      <xdr:col>0</xdr:col>
      <xdr:colOff>323850</xdr:colOff>
      <xdr:row>52</xdr:row>
      <xdr:rowOff>85725</xdr:rowOff>
    </xdr:to>
    <xdr:pic macro="[5]!DesignIconClicked">
      <xdr:nvPicPr>
        <xdr:cNvPr id="10436" name="BExOKCJU1K1YMVI6G6OSKZPG6NIH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61639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63</xdr:row>
      <xdr:rowOff>0</xdr:rowOff>
    </xdr:from>
    <xdr:to>
      <xdr:col>0</xdr:col>
      <xdr:colOff>323850</xdr:colOff>
      <xdr:row>63</xdr:row>
      <xdr:rowOff>85725</xdr:rowOff>
    </xdr:to>
    <xdr:pic macro="[5]!DesignIconClicked">
      <xdr:nvPicPr>
        <xdr:cNvPr id="10437" name="BEx3ATHJI395T3XNRDEHQ5BC51Q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2595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63</xdr:row>
      <xdr:rowOff>104775</xdr:rowOff>
    </xdr:from>
    <xdr:to>
      <xdr:col>0</xdr:col>
      <xdr:colOff>323850</xdr:colOff>
      <xdr:row>64</xdr:row>
      <xdr:rowOff>0</xdr:rowOff>
    </xdr:to>
    <xdr:pic macro="[5]!DesignIconClicked">
      <xdr:nvPicPr>
        <xdr:cNvPr id="10438" name="BExXP0YNTSA25V44I6Z1YMBVLW06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364325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63</xdr:row>
      <xdr:rowOff>0</xdr:rowOff>
    </xdr:from>
    <xdr:to>
      <xdr:col>0</xdr:col>
      <xdr:colOff>323850</xdr:colOff>
      <xdr:row>63</xdr:row>
      <xdr:rowOff>85725</xdr:rowOff>
    </xdr:to>
    <xdr:pic macro="[5]!DesignIconClicked">
      <xdr:nvPicPr>
        <xdr:cNvPr id="10439" name="BEx9EVUMT9MMF70NFAHNHZBIA3VF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9259550"/>
          <a:ext cx="1238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69</xdr:row>
      <xdr:rowOff>9525</xdr:rowOff>
    </xdr:from>
    <xdr:to>
      <xdr:col>0</xdr:col>
      <xdr:colOff>323850</xdr:colOff>
      <xdr:row>69</xdr:row>
      <xdr:rowOff>133350</xdr:rowOff>
    </xdr:to>
    <xdr:pic macro="[5]!DesignIconClicked">
      <xdr:nvPicPr>
        <xdr:cNvPr id="10440" name="BExZTDAGL85PG7BSMM9B2U6MXN08" descr="Collapsed" hidden="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212026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38099</xdr:rowOff>
    </xdr:from>
    <xdr:to>
      <xdr:col>10</xdr:col>
      <xdr:colOff>9525</xdr:colOff>
      <xdr:row>20</xdr:row>
      <xdr:rowOff>0</xdr:rowOff>
    </xdr:to>
    <xdr:graphicFrame macro="">
      <xdr:nvGraphicFramePr>
        <xdr:cNvPr id="2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20</xdr:row>
      <xdr:rowOff>19051</xdr:rowOff>
    </xdr:from>
    <xdr:to>
      <xdr:col>10</xdr:col>
      <xdr:colOff>9524</xdr:colOff>
      <xdr:row>29</xdr:row>
      <xdr:rowOff>66675</xdr:rowOff>
    </xdr:to>
    <xdr:graphicFrame macro="">
      <xdr:nvGraphicFramePr>
        <xdr:cNvPr id="3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0.01203</cdr:x>
      <cdr:y>0.1256</cdr:y>
    </cdr:from>
    <cdr:to>
      <cdr:x>0.98004</cdr:x>
      <cdr:y>0.25362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3449" y="495288"/>
          <a:ext cx="5910208" cy="5048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r>
            <a:rPr lang="lt-LT" sz="1050">
              <a:latin typeface="Times New Roman" panose="02020603050405020304" pitchFamily="18" charset="0"/>
              <a:cs typeface="Times New Roman" panose="02020603050405020304" pitchFamily="18" charset="0"/>
            </a:rPr>
            <a:t>atitinkamos draudėjų grupės lyginamasis svoris bendrame draudėjų skaičiuje </a:t>
          </a:r>
          <a:r>
            <a:rPr lang="en-US" sz="1050">
              <a:latin typeface="Times New Roman" panose="02020603050405020304" pitchFamily="18" charset="0"/>
              <a:cs typeface="Times New Roman" panose="02020603050405020304" pitchFamily="18" charset="0"/>
            </a:rPr>
            <a:t>%</a:t>
          </a:r>
        </a:p>
        <a:p xmlns:a="http://schemas.openxmlformats.org/drawingml/2006/main">
          <a:pPr algn="ctr"/>
          <a:r>
            <a:rPr lang="lt-LT" sz="1050">
              <a:latin typeface="Times New Roman" panose="02020603050405020304" pitchFamily="18" charset="0"/>
              <a:cs typeface="Times New Roman" panose="02020603050405020304" pitchFamily="18" charset="0"/>
            </a:rPr>
            <a:t>(draudėjų grupės apdraustųjų skaičiaus lyginamasis svoris bendrame apdraustųjų skaičiuje </a:t>
          </a:r>
          <a:r>
            <a:rPr lang="en-US" sz="1050">
              <a:latin typeface="Times New Roman" panose="02020603050405020304" pitchFamily="18" charset="0"/>
              <a:cs typeface="Times New Roman" panose="02020603050405020304" pitchFamily="18" charset="0"/>
            </a:rPr>
            <a:t>%</a:t>
          </a:r>
          <a:r>
            <a:rPr lang="lt-LT" sz="1050">
              <a:latin typeface="Times New Roman" panose="02020603050405020304" pitchFamily="18" charset="0"/>
              <a:cs typeface="Times New Roman" panose="02020603050405020304" pitchFamily="18" charset="0"/>
            </a:rPr>
            <a:t>)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47626</xdr:rowOff>
    </xdr:from>
    <xdr:to>
      <xdr:col>9</xdr:col>
      <xdr:colOff>390525</xdr:colOff>
      <xdr:row>54</xdr:row>
      <xdr:rowOff>76201</xdr:rowOff>
    </xdr:to>
    <xdr:graphicFrame macro="">
      <xdr:nvGraphicFramePr>
        <xdr:cNvPr id="4" name="Diagrama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</xdr:row>
      <xdr:rowOff>133351</xdr:rowOff>
    </xdr:from>
    <xdr:to>
      <xdr:col>9</xdr:col>
      <xdr:colOff>390525</xdr:colOff>
      <xdr:row>25</xdr:row>
      <xdr:rowOff>19050</xdr:rowOff>
    </xdr:to>
    <xdr:graphicFrame macro="">
      <xdr:nvGraphicFramePr>
        <xdr:cNvPr id="5" name="Diagrama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11</xdr:col>
      <xdr:colOff>9525</xdr:colOff>
      <xdr:row>26</xdr:row>
      <xdr:rowOff>28575</xdr:rowOff>
    </xdr:to>
    <xdr:graphicFrame macro="">
      <xdr:nvGraphicFramePr>
        <xdr:cNvPr id="3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0.02864</cdr:x>
      <cdr:y>0.91241</cdr:y>
    </cdr:from>
    <cdr:to>
      <cdr:x>0.96724</cdr:x>
      <cdr:y>0.99368</cdr:y>
    </cdr:to>
    <cdr:sp macro="" textlink="">
      <cdr:nvSpPr>
        <cdr:cNvPr id="19457" name="Rectangle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1533" y="3571874"/>
          <a:ext cx="6275942" cy="31816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7432" rIns="0" bIns="0" anchor="t" upright="1"/>
        <a:lstStyle xmlns:a="http://schemas.openxmlformats.org/drawingml/2006/main"/>
        <a:p xmlns:a="http://schemas.openxmlformats.org/drawingml/2006/main">
          <a:pPr algn="ctr" rtl="0">
            <a:lnSpc>
              <a:spcPts val="1500"/>
            </a:lnSpc>
            <a:defRPr sz="1000"/>
          </a:pPr>
          <a:r>
            <a:rPr lang="lt-LT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I grupė - 0,18% II grupė- 0,37% III grupė - 0,9% IV grupė - 1,8</a:t>
          </a:r>
          <a:r>
            <a:rPr lang="lt-LT" sz="12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%</a:t>
          </a:r>
          <a:endParaRPr lang="lt-LT" sz="1200" b="0" i="0" u="none" strike="noStrike" baseline="0">
            <a:solidFill>
              <a:srgbClr val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9525</xdr:rowOff>
    </xdr:from>
    <xdr:to>
      <xdr:col>10</xdr:col>
      <xdr:colOff>166689</xdr:colOff>
      <xdr:row>28</xdr:row>
      <xdr:rowOff>147639</xdr:rowOff>
    </xdr:to>
    <xdr:graphicFrame macro="">
      <xdr:nvGraphicFramePr>
        <xdr:cNvPr id="4" name="Diagrama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14286</xdr:colOff>
      <xdr:row>2</xdr:row>
      <xdr:rowOff>4761</xdr:rowOff>
    </xdr:from>
    <xdr:to>
      <xdr:col>11</xdr:col>
      <xdr:colOff>0</xdr:colOff>
      <xdr:row>28</xdr:row>
      <xdr:rowOff>142875</xdr:rowOff>
    </xdr:to>
    <xdr:graphicFrame macro="">
      <xdr:nvGraphicFramePr>
        <xdr:cNvPr id="3" name="Diagrama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3</xdr:row>
      <xdr:rowOff>0</xdr:rowOff>
    </xdr:from>
    <xdr:to>
      <xdr:col>0</xdr:col>
      <xdr:colOff>590550</xdr:colOff>
      <xdr:row>4</xdr:row>
      <xdr:rowOff>9525</xdr:rowOff>
    </xdr:to>
    <xdr:sp macro="" textlink="">
      <xdr:nvSpPr>
        <xdr:cNvPr id="3" name="Text Box 7"/>
        <xdr:cNvSpPr txBox="1">
          <a:spLocks noChangeArrowheads="1"/>
        </xdr:cNvSpPr>
      </xdr:nvSpPr>
      <xdr:spPr bwMode="auto">
        <a:xfrm>
          <a:off x="504825" y="1743075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504825</xdr:colOff>
      <xdr:row>12</xdr:row>
      <xdr:rowOff>114300</xdr:rowOff>
    </xdr:from>
    <xdr:to>
      <xdr:col>0</xdr:col>
      <xdr:colOff>590550</xdr:colOff>
      <xdr:row>13</xdr:row>
      <xdr:rowOff>123825</xdr:rowOff>
    </xdr:to>
    <xdr:sp macro="" textlink="">
      <xdr:nvSpPr>
        <xdr:cNvPr id="5" name="Text Box 7"/>
        <xdr:cNvSpPr txBox="1">
          <a:spLocks noChangeArrowheads="1"/>
        </xdr:cNvSpPr>
      </xdr:nvSpPr>
      <xdr:spPr bwMode="auto">
        <a:xfrm>
          <a:off x="504825" y="1743075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</xdr:row>
      <xdr:rowOff>33336</xdr:rowOff>
    </xdr:from>
    <xdr:to>
      <xdr:col>17</xdr:col>
      <xdr:colOff>600074</xdr:colOff>
      <xdr:row>22</xdr:row>
      <xdr:rowOff>171450</xdr:rowOff>
    </xdr:to>
    <xdr:graphicFrame macro="">
      <xdr:nvGraphicFramePr>
        <xdr:cNvPr id="4" name="Diagrama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5383</xdr:rowOff>
    </xdr:from>
    <xdr:to>
      <xdr:col>10</xdr:col>
      <xdr:colOff>466724</xdr:colOff>
      <xdr:row>26</xdr:row>
      <xdr:rowOff>152400</xdr:rowOff>
    </xdr:to>
    <xdr:graphicFrame macro="">
      <xdr:nvGraphicFramePr>
        <xdr:cNvPr id="2" name="Diagrama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9</xdr:col>
      <xdr:colOff>0</xdr:colOff>
      <xdr:row>29</xdr:row>
      <xdr:rowOff>0</xdr:rowOff>
    </xdr:to>
    <xdr:graphicFrame macro="">
      <xdr:nvGraphicFramePr>
        <xdr:cNvPr id="5" name="Diagrama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9525</xdr:rowOff>
    </xdr:from>
    <xdr:to>
      <xdr:col>11</xdr:col>
      <xdr:colOff>0</xdr:colOff>
      <xdr:row>22</xdr:row>
      <xdr:rowOff>133350</xdr:rowOff>
    </xdr:to>
    <xdr:graphicFrame macro="">
      <xdr:nvGraphicFramePr>
        <xdr:cNvPr id="3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0.957</cdr:x>
      <cdr:y>0.01463</cdr:y>
    </cdr:from>
    <cdr:to>
      <cdr:x>0.95898</cdr:x>
      <cdr:y>0.01683</cdr:y>
    </cdr:to>
    <cdr:sp macro="" textlink="">
      <cdr:nvSpPr>
        <cdr:cNvPr id="3073" name="Text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346462" y="66731"/>
          <a:ext cx="19336" cy="95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  <cdr:relSizeAnchor xmlns:cdr="http://schemas.openxmlformats.org/drawingml/2006/chartDrawing">
    <cdr:from>
      <cdr:x>0.95502</cdr:x>
      <cdr:y>0.01463</cdr:y>
    </cdr:from>
    <cdr:to>
      <cdr:x>0.957</cdr:x>
      <cdr:y>0.01683</cdr:y>
    </cdr:to>
    <cdr:sp macro="" textlink="">
      <cdr:nvSpPr>
        <cdr:cNvPr id="3074" name="Text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327126" y="66731"/>
          <a:ext cx="19336" cy="95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  <cdr:relSizeAnchor xmlns:cdr="http://schemas.openxmlformats.org/drawingml/2006/chartDrawing">
    <cdr:from>
      <cdr:x>0.45544</cdr:x>
      <cdr:y>0.01194</cdr:y>
    </cdr:from>
    <cdr:to>
      <cdr:x>0.45742</cdr:x>
      <cdr:y>0.01414</cdr:y>
    </cdr:to>
    <cdr:sp macro="" textlink="">
      <cdr:nvSpPr>
        <cdr:cNvPr id="3075" name="Text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49683" y="55048"/>
          <a:ext cx="19336" cy="95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  <cdr:relSizeAnchor xmlns:cdr="http://schemas.openxmlformats.org/drawingml/2006/chartDrawing">
    <cdr:from>
      <cdr:x>0.96913</cdr:x>
      <cdr:y>0.05351</cdr:y>
    </cdr:from>
    <cdr:to>
      <cdr:x>0.97111</cdr:x>
      <cdr:y>0.05571</cdr:y>
    </cdr:to>
    <cdr:sp macro="" textlink="">
      <cdr:nvSpPr>
        <cdr:cNvPr id="3076" name="Text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64893" y="235595"/>
          <a:ext cx="19336" cy="95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  <cdr:relSizeAnchor xmlns:cdr="http://schemas.openxmlformats.org/drawingml/2006/chartDrawing">
    <cdr:from>
      <cdr:x>0.94759</cdr:x>
      <cdr:y>0.03811</cdr:y>
    </cdr:from>
    <cdr:to>
      <cdr:x>0.94957</cdr:x>
      <cdr:y>0.04031</cdr:y>
    </cdr:to>
    <cdr:sp macro="" textlink="">
      <cdr:nvSpPr>
        <cdr:cNvPr id="3077" name="Text 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54617" y="168686"/>
          <a:ext cx="19336" cy="955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  <cdr:relSizeAnchor xmlns:cdr="http://schemas.openxmlformats.org/drawingml/2006/chartDrawing">
    <cdr:from>
      <cdr:x>0.97755</cdr:x>
      <cdr:y>0.03273</cdr:y>
    </cdr:from>
    <cdr:to>
      <cdr:x>0.97953</cdr:x>
      <cdr:y>0.03493</cdr:y>
    </cdr:to>
    <cdr:sp macro="" textlink="">
      <cdr:nvSpPr>
        <cdr:cNvPr id="3078" name="Text 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47070" y="145321"/>
          <a:ext cx="19336" cy="955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lt-LT"/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133350</xdr:rowOff>
    </xdr:from>
    <xdr:to>
      <xdr:col>18</xdr:col>
      <xdr:colOff>590549</xdr:colOff>
      <xdr:row>27</xdr:row>
      <xdr:rowOff>28575</xdr:rowOff>
    </xdr:to>
    <xdr:graphicFrame macro="">
      <xdr:nvGraphicFramePr>
        <xdr:cNvPr id="4" name="Diagrama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19049</xdr:rowOff>
    </xdr:from>
    <xdr:to>
      <xdr:col>9</xdr:col>
      <xdr:colOff>590550</xdr:colOff>
      <xdr:row>22</xdr:row>
      <xdr:rowOff>57150</xdr:rowOff>
    </xdr:to>
    <xdr:graphicFrame macro="">
      <xdr:nvGraphicFramePr>
        <xdr:cNvPr id="3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9</xdr:col>
      <xdr:colOff>609599</xdr:colOff>
      <xdr:row>22</xdr:row>
      <xdr:rowOff>38100</xdr:rowOff>
    </xdr:to>
    <xdr:graphicFrame macro="">
      <xdr:nvGraphicFramePr>
        <xdr:cNvPr id="4" name="Diagrama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590550</xdr:colOff>
      <xdr:row>0</xdr:row>
      <xdr:rowOff>0</xdr:rowOff>
    </xdr:to>
    <xdr:graphicFrame macro="">
      <xdr:nvGraphicFramePr>
        <xdr:cNvPr id="2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</xdr:row>
      <xdr:rowOff>28575</xdr:rowOff>
    </xdr:from>
    <xdr:to>
      <xdr:col>10</xdr:col>
      <xdr:colOff>609599</xdr:colOff>
      <xdr:row>23</xdr:row>
      <xdr:rowOff>180975</xdr:rowOff>
    </xdr:to>
    <xdr:graphicFrame macro="">
      <xdr:nvGraphicFramePr>
        <xdr:cNvPr id="4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590550</xdr:colOff>
      <xdr:row>0</xdr:row>
      <xdr:rowOff>0</xdr:rowOff>
    </xdr:to>
    <xdr:graphicFrame macro="">
      <xdr:nvGraphicFramePr>
        <xdr:cNvPr id="2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10583</xdr:colOff>
      <xdr:row>6</xdr:row>
      <xdr:rowOff>159808</xdr:rowOff>
    </xdr:from>
    <xdr:to>
      <xdr:col>11</xdr:col>
      <xdr:colOff>9525</xdr:colOff>
      <xdr:row>17</xdr:row>
      <xdr:rowOff>219075</xdr:rowOff>
    </xdr:to>
    <xdr:graphicFrame macro="">
      <xdr:nvGraphicFramePr>
        <xdr:cNvPr id="5" name="Diagrama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0.00765</cdr:x>
      <cdr:y>0.02449</cdr:y>
    </cdr:from>
    <cdr:to>
      <cdr:x>0.99235</cdr:x>
      <cdr:y>0.13239</cdr:y>
    </cdr:to>
    <cdr:sp macro="" textlink="">
      <cdr:nvSpPr>
        <cdr:cNvPr id="593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018" y="100823"/>
          <a:ext cx="6695755" cy="4442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lt-LT" sz="1200" b="1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VIDUTINĖS SENATVĖS PENSIJOS, TURINT BŪTINĄJĮ STAŽĄ, SANTYKIS SU STATISTIKOS DEPARTAMENTO SKELBTU DARBO UŽMOKESČIU 2010-2015 m.</a:t>
          </a:r>
          <a:endParaRPr lang="lt-LT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9524</xdr:rowOff>
    </xdr:from>
    <xdr:to>
      <xdr:col>12</xdr:col>
      <xdr:colOff>9524</xdr:colOff>
      <xdr:row>20</xdr:row>
      <xdr:rowOff>76199</xdr:rowOff>
    </xdr:to>
    <xdr:graphicFrame macro="">
      <xdr:nvGraphicFramePr>
        <xdr:cNvPr id="4" name="Diagrama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147636</xdr:rowOff>
    </xdr:from>
    <xdr:to>
      <xdr:col>10</xdr:col>
      <xdr:colOff>180974</xdr:colOff>
      <xdr:row>24</xdr:row>
      <xdr:rowOff>0</xdr:rowOff>
    </xdr:to>
    <xdr:graphicFrame macro="">
      <xdr:nvGraphicFramePr>
        <xdr:cNvPr id="3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15876</xdr:rowOff>
    </xdr:from>
    <xdr:to>
      <xdr:col>12</xdr:col>
      <xdr:colOff>571500</xdr:colOff>
      <xdr:row>28</xdr:row>
      <xdr:rowOff>89959</xdr:rowOff>
    </xdr:to>
    <xdr:graphicFrame macro="">
      <xdr:nvGraphicFramePr>
        <xdr:cNvPr id="3" name="Diagrama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133350</xdr:rowOff>
    </xdr:from>
    <xdr:to>
      <xdr:col>10</xdr:col>
      <xdr:colOff>561975</xdr:colOff>
      <xdr:row>25</xdr:row>
      <xdr:rowOff>152400</xdr:rowOff>
    </xdr:to>
    <xdr:graphicFrame macro="">
      <xdr:nvGraphicFramePr>
        <xdr:cNvPr id="3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19051</xdr:rowOff>
    </xdr:from>
    <xdr:to>
      <xdr:col>9</xdr:col>
      <xdr:colOff>9525</xdr:colOff>
      <xdr:row>28</xdr:row>
      <xdr:rowOff>1</xdr:rowOff>
    </xdr:to>
    <xdr:graphicFrame macro="">
      <xdr:nvGraphicFramePr>
        <xdr:cNvPr id="4" name="Diagrama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161924</xdr:rowOff>
    </xdr:from>
    <xdr:to>
      <xdr:col>9</xdr:col>
      <xdr:colOff>19050</xdr:colOff>
      <xdr:row>130</xdr:row>
      <xdr:rowOff>142875</xdr:rowOff>
    </xdr:to>
    <xdr:graphicFrame macro="">
      <xdr:nvGraphicFramePr>
        <xdr:cNvPr id="4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123825</xdr:rowOff>
    </xdr:from>
    <xdr:to>
      <xdr:col>10</xdr:col>
      <xdr:colOff>0</xdr:colOff>
      <xdr:row>46</xdr:row>
      <xdr:rowOff>9525</xdr:rowOff>
    </xdr:to>
    <xdr:graphicFrame macro="">
      <xdr:nvGraphicFramePr>
        <xdr:cNvPr id="2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7</xdr:col>
      <xdr:colOff>0</xdr:colOff>
      <xdr:row>18</xdr:row>
      <xdr:rowOff>828675</xdr:rowOff>
    </xdr:to>
    <xdr:graphicFrame macro="">
      <xdr:nvGraphicFramePr>
        <xdr:cNvPr id="5" name="Diagrama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152400</xdr:rowOff>
    </xdr:from>
    <xdr:to>
      <xdr:col>9</xdr:col>
      <xdr:colOff>9525</xdr:colOff>
      <xdr:row>23</xdr:row>
      <xdr:rowOff>142875</xdr:rowOff>
    </xdr:to>
    <xdr:graphicFrame macro="">
      <xdr:nvGraphicFramePr>
        <xdr:cNvPr id="3" name="Diagrama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152401</xdr:rowOff>
    </xdr:from>
    <xdr:to>
      <xdr:col>8</xdr:col>
      <xdr:colOff>295275</xdr:colOff>
      <xdr:row>26</xdr:row>
      <xdr:rowOff>85725</xdr:rowOff>
    </xdr:to>
    <xdr:graphicFrame macro="">
      <xdr:nvGraphicFramePr>
        <xdr:cNvPr id="3" name="Diagrama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LEIDINIAI%202010-2015\2015%20m.%20leidinys\Apdraust_20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LEIDINIAI%202010-2015\2015%20m.%20leidinys\Apdraust_20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RaseleB\Desktop\ROMO%20DARBAI%202014-04\Leidiniai\pilni%20metiniai%20leidiniai\2010%20leidinys\2010%20leidinio%20failai\PRADINIAI%20FAILAI\+2%20grafikai%20prie%20Rom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daliaj\Documents\duomenys\Apdraust_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gram%20Files\Common%20Files\SAP%20Shared\BW\BExAnalyzer.xla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Kristina\Leidinys%202014\Draud&#279;j&#371;%20pasiskirstymas%202015%20m.%20IV%20ketv.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ristinaZ95\AppData\Local\Microsoft\Windows\Temporary%20Internet%20Files\Content.Outlook\0U5ECE2Z\Grafika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ristinaZ95\AppData\Local\Microsoft\Windows\Temporary%20Internet%20Files\Content.Outlook\0U5ECE2Z\Tarifa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LEIDINIAI%202010-2015\2015%20m.%20leidinys\LEIDINYS_PENSIJOS_20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LEIDINIAI%202010-2015\2015%20m.%20leidinys\2015%20m.%20ligos%20ir%20motinyst&#279;s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ristinaZ95\Documents\LM\52_psl_leidinio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Ritos\2015%20NA%20leidinuka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Ritos\2015%20pensiju_fondai_leidiny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 ketv"/>
      <sheetName val="II ketv."/>
      <sheetName val="I pusmetis"/>
      <sheetName val="III ketv."/>
      <sheetName val="BExRepositorySheet"/>
      <sheetName val="9 MĖN."/>
      <sheetName val="IV ketv."/>
      <sheetName val="Metai "/>
      <sheetName val="Metai  (4)"/>
      <sheetName val="22-23"/>
      <sheetName val="10 lent.-balansui_new (2)"/>
      <sheetName val="20-21"/>
      <sheetName val="lentelė 1"/>
      <sheetName val="18-19"/>
      <sheetName val="18-19-VIS-ui"/>
      <sheetName val="Metai  (3)"/>
      <sheetName val="Lapas1"/>
      <sheetName val="Macro1"/>
      <sheetName val="Lapas2"/>
      <sheetName val="Lapas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7">
          <cell r="F7">
            <v>49279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152">
          <cell r="A152" t="str">
            <v>Recover</v>
          </cell>
        </row>
      </sheetData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 ketv"/>
      <sheetName val="II ketv."/>
      <sheetName val="I pusmetis"/>
      <sheetName val="III ketv."/>
      <sheetName val="BExRepositorySheet"/>
      <sheetName val="9 MĖN."/>
      <sheetName val="IV ketv."/>
      <sheetName val="Metai "/>
      <sheetName val="Metai  (2)"/>
      <sheetName val="10 lent.-"/>
      <sheetName val="lentelė 1"/>
      <sheetName val="Lapas1"/>
      <sheetName val="psl.10 (2)"/>
      <sheetName val="psl.10 (4)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52">
          <cell r="A152" t="str">
            <v>Recover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T v ir m"/>
      <sheetName val="L darbdavio"/>
      <sheetName val="Macro1"/>
    </sheetNames>
    <sheetDataSet>
      <sheetData sheetId="0"/>
      <sheetData sheetId="1"/>
      <sheetData sheetId="2">
        <row r="45">
          <cell r="A45" t="str">
            <v>Recover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 ketv"/>
      <sheetName val="II ketv."/>
      <sheetName val="I pusmetis"/>
      <sheetName val="III ketv."/>
      <sheetName val="BExRepositorySheet"/>
      <sheetName val="9 MĖN."/>
      <sheetName val="IV ketv."/>
      <sheetName val="Metai "/>
      <sheetName val="Metai  (2)"/>
      <sheetName val="10 lent.-"/>
      <sheetName val="lentelė 1"/>
      <sheetName val="Lapas1"/>
      <sheetName val="psl.10 (2)"/>
      <sheetName val="psl.10 (4)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52">
          <cell r="A152" t="str">
            <v>Recover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"/>
      <sheetName val="BExStyles"/>
      <sheetName val="BExAnalyzer"/>
    </sheetNames>
    <definedNames>
      <definedName name="DesignIconClicked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vestinė"/>
      <sheetName val="Grafikai"/>
      <sheetName val="Lapas1"/>
    </sheetNames>
    <sheetDataSet>
      <sheetData sheetId="0">
        <row r="7">
          <cell r="E7">
            <v>180</v>
          </cell>
          <cell r="F7">
            <v>0</v>
          </cell>
        </row>
        <row r="10">
          <cell r="E10">
            <v>3358</v>
          </cell>
          <cell r="F10">
            <v>2173</v>
          </cell>
        </row>
        <row r="17">
          <cell r="E17">
            <v>95</v>
          </cell>
          <cell r="F17">
            <v>13372</v>
          </cell>
        </row>
        <row r="34">
          <cell r="E34">
            <v>1236</v>
          </cell>
          <cell r="F34">
            <v>1627</v>
          </cell>
        </row>
        <row r="76">
          <cell r="E76">
            <v>588</v>
          </cell>
          <cell r="F76">
            <v>20</v>
          </cell>
        </row>
        <row r="90">
          <cell r="E90">
            <v>689</v>
          </cell>
          <cell r="F90">
            <v>3647</v>
          </cell>
        </row>
        <row r="96">
          <cell r="H96">
            <v>0</v>
          </cell>
          <cell r="I96">
            <v>0</v>
          </cell>
        </row>
      </sheetData>
      <sheetData sheetId="1">
        <row r="4">
          <cell r="A4" t="str">
            <v>Uždarosios akcinės bendrovės</v>
          </cell>
          <cell r="B4">
            <v>119621</v>
          </cell>
        </row>
        <row r="5">
          <cell r="A5" t="str">
            <v>Individualios įmonės</v>
          </cell>
          <cell r="B5">
            <v>48390</v>
          </cell>
        </row>
        <row r="6">
          <cell r="A6" t="str">
            <v>Asmenys, įsigiję verslo liudijimus</v>
          </cell>
          <cell r="B6">
            <v>61091</v>
          </cell>
        </row>
        <row r="7">
          <cell r="A7" t="str">
            <v>Ūkininkai ir jų partneriai</v>
          </cell>
          <cell r="B7">
            <v>19793</v>
          </cell>
        </row>
        <row r="8">
          <cell r="A8" t="str">
            <v>Biudžetinės įstaigos</v>
          </cell>
          <cell r="B8">
            <v>3401</v>
          </cell>
        </row>
        <row r="9">
          <cell r="A9" t="str">
            <v>Kiti draudėjai</v>
          </cell>
          <cell r="B9">
            <v>150110</v>
          </cell>
        </row>
        <row r="10">
          <cell r="A10" t="str">
            <v>Iš viso</v>
          </cell>
          <cell r="B10">
            <v>402406</v>
          </cell>
        </row>
        <row r="24">
          <cell r="A24" t="str">
            <v>Uždarosios akcinės bendrovės</v>
          </cell>
          <cell r="B24">
            <v>0.29726445430734133</v>
          </cell>
        </row>
        <row r="25">
          <cell r="A25" t="str">
            <v>Individualios įmonės</v>
          </cell>
          <cell r="B25">
            <v>0.12025168610806002</v>
          </cell>
        </row>
        <row r="26">
          <cell r="A26" t="str">
            <v>Asmenys, įsigiję verslo liudijimus</v>
          </cell>
          <cell r="B26">
            <v>0.15181433676436237</v>
          </cell>
        </row>
        <row r="27">
          <cell r="A27" t="str">
            <v>Ūkininkai ir jų partneriai</v>
          </cell>
          <cell r="B27">
            <v>4.9186642346287085E-2</v>
          </cell>
        </row>
        <row r="28">
          <cell r="A28" t="str">
            <v>Biudžetinės įstaigos</v>
          </cell>
          <cell r="B28">
            <v>8.4516632455778496E-3</v>
          </cell>
        </row>
        <row r="29">
          <cell r="A29" t="str">
            <v>Kiti draudėjai</v>
          </cell>
          <cell r="B29">
            <v>0.37303121722837135</v>
          </cell>
        </row>
      </sheetData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3)"/>
      <sheetName val="tarifas(patvirtintas)_2014"/>
      <sheetName val="Sheet2"/>
      <sheetName val="Sheet3"/>
      <sheetName val="Sheet4"/>
      <sheetName val="Sheet5"/>
      <sheetName val="Išlaidų struktūra"/>
      <sheetName val="Išlaidų kitimas"/>
      <sheetName val="BExRepositorySheet"/>
      <sheetName val="Pajamų struktūra"/>
      <sheetName val="Pajamų lentelė"/>
      <sheetName val="Pajamų kitimas"/>
      <sheetName val="Sheet7"/>
      <sheetName val="Sheet7 (2)"/>
      <sheetName val="Sheet9"/>
      <sheetName val="Sheet8"/>
      <sheetName val="Sheet8 (2)"/>
      <sheetName val="Sheet8 (6)"/>
      <sheetName val="Sheet8 (8)"/>
      <sheetName val="Sheet8 (7)"/>
      <sheetName val="Sheet8 (4)"/>
      <sheetName val="Sheet8 (3)"/>
      <sheetName val="Lapas2"/>
      <sheetName val="Sheet8 (5)"/>
      <sheetName val="Sheet10"/>
      <sheetName val="BVP- nacional. (2)"/>
      <sheetName val="BVP- "/>
      <sheetName val="BVP-VSD išlaidų aug"/>
      <sheetName val="Sheet12"/>
      <sheetName val="Sheet13"/>
      <sheetName val="Sheet14"/>
      <sheetName val="Sheet15"/>
      <sheetName val="Sheet6"/>
      <sheetName val="Sheet18"/>
      <sheetName val="Skola"/>
      <sheetName val="Sheet16"/>
      <sheetName val="Lapas1"/>
    </sheetNames>
    <sheetDataSet>
      <sheetData sheetId="0"/>
      <sheetData sheetId="1"/>
      <sheetData sheetId="2">
        <row r="1">
          <cell r="P1">
            <v>2010</v>
          </cell>
          <cell r="Q1">
            <v>2011</v>
          </cell>
          <cell r="R1">
            <v>2012</v>
          </cell>
          <cell r="S1">
            <v>2013</v>
          </cell>
          <cell r="T1">
            <v>2014</v>
          </cell>
          <cell r="U1">
            <v>2015</v>
          </cell>
        </row>
        <row r="2">
          <cell r="A2" t="str">
            <v>Apdraustųjų  skaičius, tenkantis vienai mokamai pensijai</v>
          </cell>
          <cell r="P2">
            <v>1.1200000000000001</v>
          </cell>
          <cell r="Q2">
            <v>1.17</v>
          </cell>
          <cell r="R2">
            <v>1.21</v>
          </cell>
          <cell r="S2">
            <v>1.23</v>
          </cell>
          <cell r="T2">
            <v>1.26</v>
          </cell>
          <cell r="U2">
            <v>1.3</v>
          </cell>
        </row>
      </sheetData>
      <sheetData sheetId="3"/>
      <sheetData sheetId="4"/>
      <sheetData sheetId="5">
        <row r="1">
          <cell r="S1" t="str">
            <v>Statistikos departamento paskelbtas šalies vidutinis mėn. darbo užmokestis</v>
          </cell>
          <cell r="T1" t="str">
            <v>Apdraustųjų  vidutinės mėnesio pajamos, nuo kurių skaičiuojamos įmokos</v>
          </cell>
          <cell r="U1" t="str">
            <v>Santykis (%)</v>
          </cell>
        </row>
        <row r="13">
          <cell r="R13">
            <v>2010</v>
          </cell>
          <cell r="S13">
            <v>575.7935588507878</v>
          </cell>
          <cell r="T13">
            <v>496.00034754402225</v>
          </cell>
          <cell r="U13">
            <v>86.14204516875408</v>
          </cell>
        </row>
        <row r="14">
          <cell r="R14">
            <v>2011</v>
          </cell>
          <cell r="S14">
            <v>592.5335959221502</v>
          </cell>
          <cell r="T14">
            <v>507.26946246524562</v>
          </cell>
          <cell r="U14">
            <v>85.610244880003904</v>
          </cell>
        </row>
        <row r="15">
          <cell r="R15">
            <v>2012</v>
          </cell>
          <cell r="S15">
            <v>615.09499536607973</v>
          </cell>
          <cell r="T15">
            <v>518.15917516218724</v>
          </cell>
          <cell r="U15">
            <v>84.240512289292781</v>
          </cell>
        </row>
        <row r="16">
          <cell r="R16">
            <v>2013</v>
          </cell>
          <cell r="S16">
            <v>646.28707136237256</v>
          </cell>
          <cell r="T16">
            <v>550.39388322520858</v>
          </cell>
          <cell r="U16">
            <v>85.162446784673989</v>
          </cell>
        </row>
        <row r="17">
          <cell r="R17">
            <v>2014</v>
          </cell>
          <cell r="S17">
            <v>676.40755329008346</v>
          </cell>
          <cell r="T17">
            <v>574.577154772938</v>
          </cell>
          <cell r="U17">
            <v>84.94540783558125</v>
          </cell>
        </row>
        <row r="18">
          <cell r="R18">
            <v>2015</v>
          </cell>
          <cell r="S18">
            <v>712.2</v>
          </cell>
          <cell r="T18">
            <v>608.5</v>
          </cell>
          <cell r="U18">
            <v>85.439483291210323</v>
          </cell>
        </row>
      </sheetData>
      <sheetData sheetId="6"/>
      <sheetData sheetId="7">
        <row r="2">
          <cell r="L2" t="str">
            <v>2010 m.</v>
          </cell>
        </row>
      </sheetData>
      <sheetData sheetId="8"/>
      <sheetData sheetId="9"/>
      <sheetData sheetId="10"/>
      <sheetData sheetId="11">
        <row r="2">
          <cell r="L2">
            <v>2010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2">
          <cell r="Q2">
            <v>2010</v>
          </cell>
          <cell r="R2">
            <v>2011</v>
          </cell>
          <cell r="S2">
            <v>2012</v>
          </cell>
          <cell r="T2">
            <v>2013</v>
          </cell>
          <cell r="U2">
            <v>2014</v>
          </cell>
          <cell r="V2">
            <v>2015</v>
          </cell>
        </row>
        <row r="3">
          <cell r="A3" t="str">
            <v xml:space="preserve">Darbingo amžiaus gyventojai </v>
          </cell>
          <cell r="Q3">
            <v>1963.7</v>
          </cell>
          <cell r="R3">
            <v>1890.4</v>
          </cell>
          <cell r="S3">
            <v>1850.7</v>
          </cell>
          <cell r="T3">
            <v>1834</v>
          </cell>
          <cell r="U3">
            <v>1820.5</v>
          </cell>
          <cell r="V3">
            <v>1810.9</v>
          </cell>
        </row>
        <row r="4">
          <cell r="A4" t="str">
            <v>VSD apdrausti asmenys</v>
          </cell>
          <cell r="Q4">
            <v>1251.8</v>
          </cell>
          <cell r="R4">
            <v>1303.8</v>
          </cell>
          <cell r="S4">
            <v>1341.7</v>
          </cell>
          <cell r="T4">
            <v>1346.5</v>
          </cell>
          <cell r="U4">
            <v>1375.8</v>
          </cell>
          <cell r="V4">
            <v>1404.9</v>
          </cell>
        </row>
        <row r="5">
          <cell r="A5" t="str">
            <v>Santykis %</v>
          </cell>
          <cell r="Q5">
            <v>63.7</v>
          </cell>
          <cell r="R5">
            <v>69</v>
          </cell>
          <cell r="S5">
            <v>72.5</v>
          </cell>
          <cell r="T5">
            <v>73.400000000000006</v>
          </cell>
          <cell r="U5">
            <v>75.599999999999994</v>
          </cell>
          <cell r="V5">
            <v>77.599999999999994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kaičiav"/>
      <sheetName val="grafikas(patvirtintas)_2007"/>
      <sheetName val="lentelė"/>
      <sheetName val="grafikas(patvirtintas)_2008"/>
      <sheetName val="grafikas(patvirtintas)_2009"/>
      <sheetName val="grafikas(patvirtintas)_2015"/>
      <sheetName val="grafikas(patvirtintas)_2005"/>
      <sheetName val="тариф (2)"/>
      <sheetName val="тариф"/>
      <sheetName val="grafikas(faktišk)"/>
      <sheetName val="tarifas1999"/>
      <sheetName val="padidintas tarifas"/>
      <sheetName val="tarif2000"/>
      <sheetName val="tarif 3 var."/>
      <sheetName val="tarifas_2007"/>
      <sheetName val="tarifas_2008"/>
      <sheetName val="tarifas_2008_new"/>
      <sheetName val="tarifas_2009"/>
      <sheetName val="tarifas_2009-faktas"/>
      <sheetName val="tarifas_2010"/>
      <sheetName val="tarifas_2009 (3)"/>
      <sheetName val="Sheet7"/>
      <sheetName val="2006-2007"/>
      <sheetName val="tarif 202lent"/>
      <sheetName val="Lentelė-2009"/>
      <sheetName val="Tarifai 2009-2011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">
          <cell r="A3" t="str">
            <v xml:space="preserve"> Pensijų draudimui</v>
          </cell>
          <cell r="B3">
            <v>0.26300000000000001</v>
          </cell>
        </row>
        <row r="4">
          <cell r="A4" t="str">
            <v>Ligos ir motinystės (tėvystės) draudimui</v>
          </cell>
          <cell r="B4">
            <v>3.4000000000000002E-2</v>
          </cell>
        </row>
        <row r="5">
          <cell r="A5" t="str">
            <v xml:space="preserve"> Draudimui nuo nedarbo</v>
          </cell>
          <cell r="B5">
            <v>1.0999999999999999E-2</v>
          </cell>
        </row>
        <row r="6">
          <cell r="A6" t="str">
            <v xml:space="preserve"> Sveikatos draudimui</v>
          </cell>
          <cell r="B6">
            <v>0.09</v>
          </cell>
        </row>
        <row r="7">
          <cell r="A7" t="str">
            <v>Draudimas nuo nelaimingų atsitikimų darbe</v>
          </cell>
          <cell r="B7">
            <v>2E-3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1_psl+"/>
      <sheetName val="32_psl+"/>
      <sheetName val="36_a_psl+"/>
      <sheetName val="37_psl_a+"/>
      <sheetName val="37_psl_b+"/>
      <sheetName val="38_psl a+"/>
      <sheetName val="BExRepositorySheet"/>
      <sheetName val="38_psl_b+"/>
      <sheetName val="39 psl_a+"/>
      <sheetName val="39 psl_b+"/>
      <sheetName val="40 _psl_a+"/>
      <sheetName val="46 psl"/>
    </sheetNames>
    <sheetDataSet>
      <sheetData sheetId="0"/>
      <sheetData sheetId="1">
        <row r="1">
          <cell r="B1">
            <v>2010</v>
          </cell>
        </row>
      </sheetData>
      <sheetData sheetId="2">
        <row r="5">
          <cell r="C5">
            <v>2015</v>
          </cell>
        </row>
        <row r="6">
          <cell r="A6" t="str">
            <v>Senatvės</v>
          </cell>
          <cell r="C6">
            <v>0.55500000000000005</v>
          </cell>
        </row>
        <row r="7">
          <cell r="A7" t="str">
            <v>Netekto darbingumo (invalidumo)</v>
          </cell>
          <cell r="C7">
            <v>0.19439999999999999</v>
          </cell>
        </row>
        <row r="8">
          <cell r="A8" t="str">
            <v>Našlių ir našlaičių (maitintojo netekimo)</v>
          </cell>
          <cell r="C8">
            <v>0.2419</v>
          </cell>
        </row>
        <row r="9">
          <cell r="A9" t="str">
            <v>Išankstinės senatvės</v>
          </cell>
          <cell r="C9">
            <v>8.6999999999999994E-3</v>
          </cell>
        </row>
      </sheetData>
      <sheetData sheetId="3">
        <row r="1">
          <cell r="B1">
            <v>2010</v>
          </cell>
          <cell r="C1">
            <v>2011</v>
          </cell>
          <cell r="D1">
            <v>2012</v>
          </cell>
          <cell r="E1">
            <v>2013</v>
          </cell>
          <cell r="F1">
            <v>2014</v>
          </cell>
          <cell r="G1">
            <v>2015</v>
          </cell>
        </row>
        <row r="2">
          <cell r="A2" t="str">
            <v>Senatvės</v>
          </cell>
          <cell r="B2">
            <v>22.3</v>
          </cell>
          <cell r="C2">
            <v>22.6</v>
          </cell>
          <cell r="D2">
            <v>17.100000000000001</v>
          </cell>
          <cell r="E2">
            <v>17.399999999999999</v>
          </cell>
          <cell r="F2">
            <v>16.100000000000001</v>
          </cell>
          <cell r="G2">
            <v>16.8</v>
          </cell>
        </row>
        <row r="3">
          <cell r="A3" t="str">
            <v>Netekto darbingumo (invalidumo)</v>
          </cell>
          <cell r="B3">
            <v>14.7</v>
          </cell>
          <cell r="C3">
            <v>13.6</v>
          </cell>
          <cell r="D3">
            <v>12.8</v>
          </cell>
          <cell r="E3">
            <v>12.5</v>
          </cell>
          <cell r="F3">
            <v>12.3</v>
          </cell>
          <cell r="G3">
            <v>11.7</v>
          </cell>
        </row>
        <row r="4">
          <cell r="A4" t="str">
            <v>Našlių ir našlaičių</v>
          </cell>
          <cell r="B4">
            <v>17.399999999999999</v>
          </cell>
          <cell r="C4">
            <v>17.100000000000001</v>
          </cell>
          <cell r="D4">
            <v>15.2</v>
          </cell>
          <cell r="E4">
            <v>15.3</v>
          </cell>
          <cell r="F4">
            <v>14.6</v>
          </cell>
          <cell r="G4">
            <v>14.6</v>
          </cell>
        </row>
        <row r="5">
          <cell r="A5" t="str">
            <v>Išankstinės senatvės</v>
          </cell>
          <cell r="B5">
            <v>6.1</v>
          </cell>
          <cell r="C5">
            <v>5</v>
          </cell>
          <cell r="D5">
            <v>3</v>
          </cell>
          <cell r="E5">
            <v>2.2999999999999998</v>
          </cell>
          <cell r="F5">
            <v>2.2000000000000002</v>
          </cell>
          <cell r="G5">
            <v>2</v>
          </cell>
        </row>
        <row r="6">
          <cell r="A6" t="str">
            <v>Iš viso</v>
          </cell>
          <cell r="B6">
            <v>60.5</v>
          </cell>
          <cell r="C6">
            <v>58.300000000000004</v>
          </cell>
          <cell r="D6">
            <v>48.1</v>
          </cell>
          <cell r="E6">
            <v>47.5</v>
          </cell>
          <cell r="F6">
            <v>45.2</v>
          </cell>
          <cell r="G6">
            <v>45.1</v>
          </cell>
        </row>
      </sheetData>
      <sheetData sheetId="4">
        <row r="1">
          <cell r="B1" t="str">
            <v>60-65</v>
          </cell>
          <cell r="D1">
            <v>0.1474604967086883</v>
          </cell>
        </row>
        <row r="2">
          <cell r="B2" t="str">
            <v>65-70</v>
          </cell>
          <cell r="D2">
            <v>0.22530928933507616</v>
          </cell>
        </row>
        <row r="3">
          <cell r="B3" t="str">
            <v>70-75</v>
          </cell>
          <cell r="D3">
            <v>0.20174742391725661</v>
          </cell>
        </row>
        <row r="4">
          <cell r="B4" t="str">
            <v>75-80</v>
          </cell>
          <cell r="D4">
            <v>0.18569441391495781</v>
          </cell>
        </row>
        <row r="5">
          <cell r="B5" t="str">
            <v>80-85</v>
          </cell>
          <cell r="D5">
            <v>0.1353758538701228</v>
          </cell>
        </row>
        <row r="6">
          <cell r="B6" t="str">
            <v>85-90</v>
          </cell>
          <cell r="D6">
            <v>7.6244666195720207E-2</v>
          </cell>
        </row>
        <row r="7">
          <cell r="B7" t="str">
            <v>Virš 90</v>
          </cell>
          <cell r="D7">
            <v>2.816785605817811E-2</v>
          </cell>
        </row>
      </sheetData>
      <sheetData sheetId="5">
        <row r="4">
          <cell r="A4" t="str">
            <v>iki 175</v>
          </cell>
          <cell r="C4">
            <v>3.8937942078289135E-2</v>
          </cell>
        </row>
        <row r="5">
          <cell r="A5" t="str">
            <v>175-200</v>
          </cell>
          <cell r="C5">
            <v>0.12348489600436867</v>
          </cell>
        </row>
        <row r="6">
          <cell r="A6" t="str">
            <v>200-225</v>
          </cell>
          <cell r="C6">
            <v>0.16933005191479628</v>
          </cell>
        </row>
        <row r="7">
          <cell r="A7" t="str">
            <v>225-250</v>
          </cell>
          <cell r="C7">
            <v>0.1650056637677523</v>
          </cell>
        </row>
        <row r="8">
          <cell r="A8" t="str">
            <v>250-275</v>
          </cell>
          <cell r="C8">
            <v>0.13995225462233554</v>
          </cell>
        </row>
        <row r="9">
          <cell r="A9" t="str">
            <v>275-300</v>
          </cell>
          <cell r="C9">
            <v>0.11166662361957191</v>
          </cell>
        </row>
        <row r="10">
          <cell r="A10" t="str">
            <v>300-325</v>
          </cell>
          <cell r="C10">
            <v>8.2406898358429792E-2</v>
          </cell>
        </row>
        <row r="11">
          <cell r="A11" t="str">
            <v>325-350</v>
          </cell>
          <cell r="C11">
            <v>5.6883045963227942E-2</v>
          </cell>
        </row>
        <row r="12">
          <cell r="A12" t="str">
            <v>350-400</v>
          </cell>
          <cell r="C12">
            <v>6.0628143206614984E-2</v>
          </cell>
        </row>
        <row r="13">
          <cell r="A13" t="str">
            <v>400-500</v>
          </cell>
          <cell r="C13">
            <v>3.5698340718984874E-2</v>
          </cell>
        </row>
        <row r="14">
          <cell r="A14" t="str">
            <v>Virš 500</v>
          </cell>
          <cell r="C14">
            <v>1.6006139745628568E-2</v>
          </cell>
        </row>
      </sheetData>
      <sheetData sheetId="6"/>
      <sheetData sheetId="7">
        <row r="1">
          <cell r="N1">
            <v>2010</v>
          </cell>
          <cell r="O1">
            <v>2011</v>
          </cell>
          <cell r="P1">
            <v>2012</v>
          </cell>
          <cell r="Q1">
            <v>2013</v>
          </cell>
          <cell r="R1">
            <v>2014</v>
          </cell>
          <cell r="S1">
            <v>2015</v>
          </cell>
        </row>
        <row r="2">
          <cell r="A2" t="str">
            <v>Senatvės pensija, turint būtinąjį stažą</v>
          </cell>
          <cell r="N2">
            <v>221.5</v>
          </cell>
          <cell r="O2">
            <v>222.53</v>
          </cell>
          <cell r="P2">
            <v>243.83</v>
          </cell>
          <cell r="Q2">
            <v>246.43</v>
          </cell>
          <cell r="R2">
            <v>249.42</v>
          </cell>
          <cell r="S2">
            <v>254.33</v>
          </cell>
        </row>
        <row r="3">
          <cell r="A3" t="str">
            <v>Šalies vid. darbo užmokestis</v>
          </cell>
          <cell r="N3">
            <v>575.79999999999995</v>
          </cell>
          <cell r="O3">
            <v>592.5</v>
          </cell>
          <cell r="P3">
            <v>615.1</v>
          </cell>
          <cell r="Q3">
            <v>646.29999999999995</v>
          </cell>
          <cell r="R3">
            <v>677.4</v>
          </cell>
          <cell r="S3">
            <v>712.1</v>
          </cell>
        </row>
        <row r="4">
          <cell r="A4" t="str">
            <v>Santykis</v>
          </cell>
          <cell r="N4">
            <v>38.468218131295586</v>
          </cell>
          <cell r="O4">
            <v>37.557805907172998</v>
          </cell>
          <cell r="P4">
            <v>39.640708827832874</v>
          </cell>
          <cell r="Q4">
            <v>38.129351694259633</v>
          </cell>
          <cell r="R4">
            <v>36.820194862710366</v>
          </cell>
          <cell r="S4">
            <v>35.715489397556524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0 psl."/>
      <sheetName val="51 psl."/>
      <sheetName val="52 psl."/>
      <sheetName val="53 psl."/>
      <sheetName val="54 psl."/>
      <sheetName val="55 psl."/>
      <sheetName val="Lapas2"/>
      <sheetName val="Lapas3"/>
    </sheetNames>
    <sheetDataSet>
      <sheetData sheetId="0">
        <row r="2">
          <cell r="E2" t="str">
            <v xml:space="preserve">Apmokėtų laikinojo nedarbingumo dienų dėl ligų skaičius </v>
          </cell>
        </row>
      </sheetData>
      <sheetData sheetId="1"/>
      <sheetData sheetId="2">
        <row r="2">
          <cell r="B2">
            <v>2010</v>
          </cell>
          <cell r="C2">
            <v>2011</v>
          </cell>
          <cell r="D2">
            <v>2012</v>
          </cell>
          <cell r="E2">
            <v>2013</v>
          </cell>
          <cell r="F2">
            <v>2014</v>
          </cell>
          <cell r="G2">
            <v>2015</v>
          </cell>
        </row>
        <row r="3">
          <cell r="A3" t="str">
            <v>Darbdavių apmokėtos ligos pašalpos</v>
          </cell>
          <cell r="B3">
            <v>12205.72646</v>
          </cell>
          <cell r="C3">
            <v>14289.1752</v>
          </cell>
          <cell r="D3">
            <v>13937.658090000001</v>
          </cell>
          <cell r="E3">
            <v>18942.704020000001</v>
          </cell>
          <cell r="F3">
            <v>18176.364290000001</v>
          </cell>
          <cell r="G3">
            <v>31415.302540000001</v>
          </cell>
        </row>
      </sheetData>
      <sheetData sheetId="3">
        <row r="1">
          <cell r="B1" t="str">
            <v>Gimusių skaičius (tūkst.žm.)</v>
          </cell>
          <cell r="C1" t="str">
            <v>Motinystės pašalpų gavėjų skaičius (tūkst.žm.)</v>
          </cell>
          <cell r="D1" t="str">
            <v xml:space="preserve">Motinų, gaunančių motinystės pašalpas procentas </v>
          </cell>
        </row>
        <row r="5">
          <cell r="A5">
            <v>2010</v>
          </cell>
          <cell r="B5">
            <v>30.7</v>
          </cell>
          <cell r="C5">
            <v>24.1</v>
          </cell>
          <cell r="D5">
            <v>78.5</v>
          </cell>
        </row>
        <row r="6">
          <cell r="A6">
            <v>2011</v>
          </cell>
          <cell r="B6">
            <v>30.3</v>
          </cell>
          <cell r="C6">
            <v>20.3</v>
          </cell>
          <cell r="D6">
            <v>67</v>
          </cell>
        </row>
        <row r="7">
          <cell r="A7">
            <v>2012</v>
          </cell>
          <cell r="B7">
            <v>30.5</v>
          </cell>
          <cell r="C7">
            <v>19.399999999999999</v>
          </cell>
          <cell r="D7">
            <v>63.6</v>
          </cell>
        </row>
        <row r="8">
          <cell r="A8">
            <v>2013</v>
          </cell>
          <cell r="B8">
            <v>29.9</v>
          </cell>
          <cell r="C8">
            <v>19</v>
          </cell>
          <cell r="D8">
            <v>63.5</v>
          </cell>
        </row>
        <row r="9">
          <cell r="A9">
            <v>2014</v>
          </cell>
          <cell r="B9">
            <v>30.4</v>
          </cell>
          <cell r="C9">
            <v>20</v>
          </cell>
          <cell r="D9">
            <v>65.8</v>
          </cell>
        </row>
        <row r="10">
          <cell r="A10">
            <v>2015</v>
          </cell>
          <cell r="B10">
            <v>31.5</v>
          </cell>
          <cell r="C10">
            <v>21.603999999999999</v>
          </cell>
          <cell r="D10">
            <v>68.599999999999994</v>
          </cell>
        </row>
      </sheetData>
      <sheetData sheetId="4">
        <row r="2">
          <cell r="C2">
            <v>2010</v>
          </cell>
          <cell r="D2">
            <v>2011</v>
          </cell>
          <cell r="E2">
            <v>2012</v>
          </cell>
          <cell r="F2">
            <v>2013</v>
          </cell>
          <cell r="G2">
            <v>2014</v>
          </cell>
          <cell r="H2">
            <v>2015</v>
          </cell>
        </row>
        <row r="3">
          <cell r="A3" t="str">
            <v>Motinystės  (tėvystės) pašalpų vidutinio mėnesinio gavėjų skaičius 2010-2015 m.</v>
          </cell>
          <cell r="C3">
            <v>47741</v>
          </cell>
          <cell r="D3">
            <v>43638</v>
          </cell>
          <cell r="E3">
            <v>37839</v>
          </cell>
          <cell r="F3">
            <v>35614</v>
          </cell>
          <cell r="G3">
            <v>36236</v>
          </cell>
          <cell r="H3">
            <v>37954</v>
          </cell>
        </row>
      </sheetData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2_Lt"/>
      <sheetName val="52_EUR"/>
      <sheetName val="52_EUR (2)"/>
    </sheetNames>
    <sheetDataSet>
      <sheetData sheetId="0" refreshError="1">
        <row r="5">
          <cell r="E5">
            <v>208855.4</v>
          </cell>
          <cell r="F5">
            <v>234848.5</v>
          </cell>
          <cell r="G5">
            <v>503319.7</v>
          </cell>
          <cell r="H5">
            <v>664935.9</v>
          </cell>
          <cell r="I5">
            <v>630098.9</v>
          </cell>
        </row>
        <row r="6">
          <cell r="E6">
            <v>60083.4</v>
          </cell>
          <cell r="F6">
            <v>66825.899999999994</v>
          </cell>
          <cell r="G6">
            <v>140239</v>
          </cell>
          <cell r="H6">
            <v>217081.3</v>
          </cell>
          <cell r="I6">
            <v>258697.60000000001</v>
          </cell>
        </row>
        <row r="7">
          <cell r="E7">
            <v>89662.1</v>
          </cell>
          <cell r="F7">
            <v>112522.1</v>
          </cell>
          <cell r="G7">
            <v>277701.40000000002</v>
          </cell>
          <cell r="H7">
            <v>772000.1</v>
          </cell>
          <cell r="I7">
            <v>1197874.1000000001</v>
          </cell>
        </row>
        <row r="8">
          <cell r="E8">
            <v>0</v>
          </cell>
          <cell r="F8">
            <v>0</v>
          </cell>
          <cell r="G8">
            <v>19162.3</v>
          </cell>
          <cell r="H8">
            <v>31799.200000000001</v>
          </cell>
          <cell r="I8">
            <v>34144.9</v>
          </cell>
        </row>
        <row r="9">
          <cell r="E9">
            <v>0</v>
          </cell>
          <cell r="F9">
            <v>0</v>
          </cell>
          <cell r="G9">
            <v>40.299999999999997</v>
          </cell>
          <cell r="H9">
            <v>25.5</v>
          </cell>
          <cell r="I9">
            <v>14.1</v>
          </cell>
        </row>
        <row r="31">
          <cell r="I31">
            <v>2598.6</v>
          </cell>
          <cell r="J31">
            <v>2136.5</v>
          </cell>
          <cell r="K31">
            <v>1870.3</v>
          </cell>
          <cell r="L31">
            <v>1355.2</v>
          </cell>
          <cell r="M31">
            <v>1497.69</v>
          </cell>
        </row>
        <row r="32">
          <cell r="I32">
            <v>1840.1</v>
          </cell>
          <cell r="J32">
            <v>1961.8</v>
          </cell>
          <cell r="K32">
            <v>1666.5</v>
          </cell>
          <cell r="L32">
            <v>1838.1</v>
          </cell>
          <cell r="M32">
            <v>1022.19</v>
          </cell>
        </row>
      </sheetData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9"/>
      <sheetName val="64 "/>
      <sheetName val="65"/>
      <sheetName val="BExRepositorySheet"/>
    </sheetNames>
    <sheetDataSet>
      <sheetData sheetId="0">
        <row r="34">
          <cell r="C34" t="str">
            <v>Nelaimingų atsitikimų darbe ligos pašalpos</v>
          </cell>
          <cell r="D34">
            <v>5936.0630000000001</v>
          </cell>
          <cell r="E34">
            <v>35.260429604808195</v>
          </cell>
        </row>
        <row r="35">
          <cell r="C35" t="str">
            <v>Profesinių ligų  pašalpos</v>
          </cell>
          <cell r="D35">
            <v>66.447000000000003</v>
          </cell>
          <cell r="E35">
            <v>0.39469759097076468</v>
          </cell>
        </row>
        <row r="36">
          <cell r="C36" t="str">
            <v>Periodinė draudimo išmoka apdraustajam mirus</v>
          </cell>
          <cell r="D36">
            <v>557.88900000000001</v>
          </cell>
          <cell r="E36">
            <v>3.313880902510105</v>
          </cell>
        </row>
        <row r="37">
          <cell r="C37" t="str">
            <v>Netekto darbingumo periodinė kompensacija</v>
          </cell>
          <cell r="D37">
            <v>8073.4589999999998</v>
          </cell>
          <cell r="E37">
            <v>47.956639398336101</v>
          </cell>
        </row>
        <row r="38">
          <cell r="C38" t="str">
            <v>Vienkartinė draudimo išmoka apdraustajam mirus</v>
          </cell>
          <cell r="D38">
            <v>1671.877</v>
          </cell>
          <cell r="E38">
            <v>9.9310100425817431</v>
          </cell>
        </row>
        <row r="39">
          <cell r="C39" t="str">
            <v>Vienkartinės netekto darbingumo kompensacijos</v>
          </cell>
          <cell r="D39">
            <v>529.17899999999997</v>
          </cell>
          <cell r="E39">
            <v>3.1433424607930873</v>
          </cell>
        </row>
      </sheetData>
      <sheetData sheetId="1">
        <row r="1">
          <cell r="C1" t="str">
            <v>Profesinės ligos</v>
          </cell>
          <cell r="D1" t="str">
            <v>Nelaimingi atsitikimai</v>
          </cell>
          <cell r="E1" t="str">
            <v>Iš viso</v>
          </cell>
        </row>
        <row r="9">
          <cell r="B9">
            <v>2010</v>
          </cell>
          <cell r="C9">
            <v>245</v>
          </cell>
          <cell r="D9">
            <v>4039</v>
          </cell>
          <cell r="E9">
            <v>4284</v>
          </cell>
        </row>
        <row r="10">
          <cell r="B10">
            <v>2011</v>
          </cell>
          <cell r="C10">
            <v>208</v>
          </cell>
          <cell r="D10">
            <v>4860</v>
          </cell>
          <cell r="E10">
            <v>5068</v>
          </cell>
        </row>
        <row r="11">
          <cell r="B11">
            <v>2012</v>
          </cell>
          <cell r="C11">
            <v>252</v>
          </cell>
          <cell r="D11">
            <v>4583</v>
          </cell>
          <cell r="E11">
            <v>4835</v>
          </cell>
        </row>
        <row r="12">
          <cell r="B12">
            <v>2013</v>
          </cell>
          <cell r="C12">
            <v>219</v>
          </cell>
          <cell r="D12">
            <v>5481</v>
          </cell>
          <cell r="E12">
            <v>5700</v>
          </cell>
        </row>
        <row r="13">
          <cell r="B13">
            <v>2014</v>
          </cell>
          <cell r="C13">
            <v>235</v>
          </cell>
          <cell r="D13">
            <v>4919</v>
          </cell>
          <cell r="E13">
            <v>5154</v>
          </cell>
        </row>
        <row r="14">
          <cell r="B14">
            <v>2015</v>
          </cell>
          <cell r="C14">
            <v>202</v>
          </cell>
          <cell r="D14">
            <v>5493</v>
          </cell>
          <cell r="E14">
            <v>5695</v>
          </cell>
        </row>
        <row r="16">
          <cell r="B16" t="str">
            <v xml:space="preserve">lengvi </v>
          </cell>
          <cell r="C16" t="str">
            <v>sunkūs</v>
          </cell>
          <cell r="D16" t="str">
            <v>mirtini</v>
          </cell>
          <cell r="E16" t="str">
            <v>prof. ligos</v>
          </cell>
          <cell r="F16" t="str">
            <v>iš viso</v>
          </cell>
        </row>
        <row r="43">
          <cell r="A43" t="str">
            <v>2015 m.</v>
          </cell>
        </row>
        <row r="44">
          <cell r="A44" t="str">
            <v>Tirta atvejų</v>
          </cell>
          <cell r="B44">
            <v>5787</v>
          </cell>
          <cell r="C44">
            <v>185</v>
          </cell>
          <cell r="D44">
            <v>57</v>
          </cell>
          <cell r="E44">
            <v>249</v>
          </cell>
          <cell r="F44">
            <v>6278</v>
          </cell>
        </row>
        <row r="45">
          <cell r="A45" t="str">
            <v>Pripažinta draudiminiais įvykiais</v>
          </cell>
          <cell r="B45">
            <v>5315</v>
          </cell>
          <cell r="C45">
            <v>143</v>
          </cell>
          <cell r="D45">
            <v>35</v>
          </cell>
          <cell r="E45">
            <v>202</v>
          </cell>
          <cell r="F45">
            <v>5695</v>
          </cell>
        </row>
      </sheetData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7+"/>
      <sheetName val="Priskait_2004-15 Eur"/>
      <sheetName val="Dalyviai_nulinukai"/>
      <sheetName val="Pasiskirst_pajamu"/>
    </sheetNames>
    <sheetDataSet>
      <sheetData sheetId="0">
        <row r="3">
          <cell r="B3">
            <v>2010</v>
          </cell>
          <cell r="C3">
            <v>2011</v>
          </cell>
          <cell r="D3">
            <v>2012</v>
          </cell>
          <cell r="E3">
            <v>2013</v>
          </cell>
          <cell r="F3">
            <v>2014</v>
          </cell>
          <cell r="G3">
            <v>2015</v>
          </cell>
        </row>
        <row r="4">
          <cell r="A4" t="str">
            <v>Apdraustieji visomis socialinio draudimo rūšimis</v>
          </cell>
          <cell r="B4">
            <v>1129.769</v>
          </cell>
          <cell r="C4">
            <v>1175.7</v>
          </cell>
          <cell r="D4">
            <v>1219</v>
          </cell>
          <cell r="E4">
            <v>1242.0999999999999</v>
          </cell>
          <cell r="F4">
            <v>1270.9000000000001</v>
          </cell>
          <cell r="G4">
            <v>1288</v>
          </cell>
        </row>
        <row r="5">
          <cell r="A5" t="str">
            <v>Pensijų fondų dalyvių skaičius</v>
          </cell>
          <cell r="B5">
            <v>995.1</v>
          </cell>
          <cell r="C5">
            <v>1032.7</v>
          </cell>
          <cell r="D5">
            <v>1051.7</v>
          </cell>
          <cell r="E5">
            <v>1078.5</v>
          </cell>
          <cell r="F5">
            <v>1128.9000000000001</v>
          </cell>
          <cell r="G5">
            <v>1177.4000000000001</v>
          </cell>
        </row>
        <row r="6">
          <cell r="A6" t="str">
            <v>Apdraustųjų dalis, dalyvaujančių pensijų kaupime (%)</v>
          </cell>
          <cell r="B6">
            <v>88.079952627484033</v>
          </cell>
          <cell r="C6">
            <v>87.837033256783187</v>
          </cell>
          <cell r="D6">
            <v>86.275635767022152</v>
          </cell>
          <cell r="E6">
            <v>86.828757748973516</v>
          </cell>
          <cell r="F6">
            <v>88.826815642458101</v>
          </cell>
          <cell r="G6">
            <v>91.413043478260875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5:K19"/>
  <sheetViews>
    <sheetView workbookViewId="0">
      <selection activeCell="D18" sqref="D18:G18"/>
    </sheetView>
  </sheetViews>
  <sheetFormatPr defaultRowHeight="12.75"/>
  <cols>
    <col min="1" max="1" width="14.5703125" style="2" customWidth="1"/>
    <col min="2" max="256" width="9.140625" style="2"/>
    <col min="257" max="257" width="14.5703125" style="2" customWidth="1"/>
    <col min="258" max="512" width="9.140625" style="2"/>
    <col min="513" max="513" width="14.5703125" style="2" customWidth="1"/>
    <col min="514" max="768" width="9.140625" style="2"/>
    <col min="769" max="769" width="14.5703125" style="2" customWidth="1"/>
    <col min="770" max="1024" width="9.140625" style="2"/>
    <col min="1025" max="1025" width="14.5703125" style="2" customWidth="1"/>
    <col min="1026" max="1280" width="9.140625" style="2"/>
    <col min="1281" max="1281" width="14.5703125" style="2" customWidth="1"/>
    <col min="1282" max="1536" width="9.140625" style="2"/>
    <col min="1537" max="1537" width="14.5703125" style="2" customWidth="1"/>
    <col min="1538" max="1792" width="9.140625" style="2"/>
    <col min="1793" max="1793" width="14.5703125" style="2" customWidth="1"/>
    <col min="1794" max="2048" width="9.140625" style="2"/>
    <col min="2049" max="2049" width="14.5703125" style="2" customWidth="1"/>
    <col min="2050" max="2304" width="9.140625" style="2"/>
    <col min="2305" max="2305" width="14.5703125" style="2" customWidth="1"/>
    <col min="2306" max="2560" width="9.140625" style="2"/>
    <col min="2561" max="2561" width="14.5703125" style="2" customWidth="1"/>
    <col min="2562" max="2816" width="9.140625" style="2"/>
    <col min="2817" max="2817" width="14.5703125" style="2" customWidth="1"/>
    <col min="2818" max="3072" width="9.140625" style="2"/>
    <col min="3073" max="3073" width="14.5703125" style="2" customWidth="1"/>
    <col min="3074" max="3328" width="9.140625" style="2"/>
    <col min="3329" max="3329" width="14.5703125" style="2" customWidth="1"/>
    <col min="3330" max="3584" width="9.140625" style="2"/>
    <col min="3585" max="3585" width="14.5703125" style="2" customWidth="1"/>
    <col min="3586" max="3840" width="9.140625" style="2"/>
    <col min="3841" max="3841" width="14.5703125" style="2" customWidth="1"/>
    <col min="3842" max="4096" width="9.140625" style="2"/>
    <col min="4097" max="4097" width="14.5703125" style="2" customWidth="1"/>
    <col min="4098" max="4352" width="9.140625" style="2"/>
    <col min="4353" max="4353" width="14.5703125" style="2" customWidth="1"/>
    <col min="4354" max="4608" width="9.140625" style="2"/>
    <col min="4609" max="4609" width="14.5703125" style="2" customWidth="1"/>
    <col min="4610" max="4864" width="9.140625" style="2"/>
    <col min="4865" max="4865" width="14.5703125" style="2" customWidth="1"/>
    <col min="4866" max="5120" width="9.140625" style="2"/>
    <col min="5121" max="5121" width="14.5703125" style="2" customWidth="1"/>
    <col min="5122" max="5376" width="9.140625" style="2"/>
    <col min="5377" max="5377" width="14.5703125" style="2" customWidth="1"/>
    <col min="5378" max="5632" width="9.140625" style="2"/>
    <col min="5633" max="5633" width="14.5703125" style="2" customWidth="1"/>
    <col min="5634" max="5888" width="9.140625" style="2"/>
    <col min="5889" max="5889" width="14.5703125" style="2" customWidth="1"/>
    <col min="5890" max="6144" width="9.140625" style="2"/>
    <col min="6145" max="6145" width="14.5703125" style="2" customWidth="1"/>
    <col min="6146" max="6400" width="9.140625" style="2"/>
    <col min="6401" max="6401" width="14.5703125" style="2" customWidth="1"/>
    <col min="6402" max="6656" width="9.140625" style="2"/>
    <col min="6657" max="6657" width="14.5703125" style="2" customWidth="1"/>
    <col min="6658" max="6912" width="9.140625" style="2"/>
    <col min="6913" max="6913" width="14.5703125" style="2" customWidth="1"/>
    <col min="6914" max="7168" width="9.140625" style="2"/>
    <col min="7169" max="7169" width="14.5703125" style="2" customWidth="1"/>
    <col min="7170" max="7424" width="9.140625" style="2"/>
    <col min="7425" max="7425" width="14.5703125" style="2" customWidth="1"/>
    <col min="7426" max="7680" width="9.140625" style="2"/>
    <col min="7681" max="7681" width="14.5703125" style="2" customWidth="1"/>
    <col min="7682" max="7936" width="9.140625" style="2"/>
    <col min="7937" max="7937" width="14.5703125" style="2" customWidth="1"/>
    <col min="7938" max="8192" width="9.140625" style="2"/>
    <col min="8193" max="8193" width="14.5703125" style="2" customWidth="1"/>
    <col min="8194" max="8448" width="9.140625" style="2"/>
    <col min="8449" max="8449" width="14.5703125" style="2" customWidth="1"/>
    <col min="8450" max="8704" width="9.140625" style="2"/>
    <col min="8705" max="8705" width="14.5703125" style="2" customWidth="1"/>
    <col min="8706" max="8960" width="9.140625" style="2"/>
    <col min="8961" max="8961" width="14.5703125" style="2" customWidth="1"/>
    <col min="8962" max="9216" width="9.140625" style="2"/>
    <col min="9217" max="9217" width="14.5703125" style="2" customWidth="1"/>
    <col min="9218" max="9472" width="9.140625" style="2"/>
    <col min="9473" max="9473" width="14.5703125" style="2" customWidth="1"/>
    <col min="9474" max="9728" width="9.140625" style="2"/>
    <col min="9729" max="9729" width="14.5703125" style="2" customWidth="1"/>
    <col min="9730" max="9984" width="9.140625" style="2"/>
    <col min="9985" max="9985" width="14.5703125" style="2" customWidth="1"/>
    <col min="9986" max="10240" width="9.140625" style="2"/>
    <col min="10241" max="10241" width="14.5703125" style="2" customWidth="1"/>
    <col min="10242" max="10496" width="9.140625" style="2"/>
    <col min="10497" max="10497" width="14.5703125" style="2" customWidth="1"/>
    <col min="10498" max="10752" width="9.140625" style="2"/>
    <col min="10753" max="10753" width="14.5703125" style="2" customWidth="1"/>
    <col min="10754" max="11008" width="9.140625" style="2"/>
    <col min="11009" max="11009" width="14.5703125" style="2" customWidth="1"/>
    <col min="11010" max="11264" width="9.140625" style="2"/>
    <col min="11265" max="11265" width="14.5703125" style="2" customWidth="1"/>
    <col min="11266" max="11520" width="9.140625" style="2"/>
    <col min="11521" max="11521" width="14.5703125" style="2" customWidth="1"/>
    <col min="11522" max="11776" width="9.140625" style="2"/>
    <col min="11777" max="11777" width="14.5703125" style="2" customWidth="1"/>
    <col min="11778" max="12032" width="9.140625" style="2"/>
    <col min="12033" max="12033" width="14.5703125" style="2" customWidth="1"/>
    <col min="12034" max="12288" width="9.140625" style="2"/>
    <col min="12289" max="12289" width="14.5703125" style="2" customWidth="1"/>
    <col min="12290" max="12544" width="9.140625" style="2"/>
    <col min="12545" max="12545" width="14.5703125" style="2" customWidth="1"/>
    <col min="12546" max="12800" width="9.140625" style="2"/>
    <col min="12801" max="12801" width="14.5703125" style="2" customWidth="1"/>
    <col min="12802" max="13056" width="9.140625" style="2"/>
    <col min="13057" max="13057" width="14.5703125" style="2" customWidth="1"/>
    <col min="13058" max="13312" width="9.140625" style="2"/>
    <col min="13313" max="13313" width="14.5703125" style="2" customWidth="1"/>
    <col min="13314" max="13568" width="9.140625" style="2"/>
    <col min="13569" max="13569" width="14.5703125" style="2" customWidth="1"/>
    <col min="13570" max="13824" width="9.140625" style="2"/>
    <col min="13825" max="13825" width="14.5703125" style="2" customWidth="1"/>
    <col min="13826" max="14080" width="9.140625" style="2"/>
    <col min="14081" max="14081" width="14.5703125" style="2" customWidth="1"/>
    <col min="14082" max="14336" width="9.140625" style="2"/>
    <col min="14337" max="14337" width="14.5703125" style="2" customWidth="1"/>
    <col min="14338" max="14592" width="9.140625" style="2"/>
    <col min="14593" max="14593" width="14.5703125" style="2" customWidth="1"/>
    <col min="14594" max="14848" width="9.140625" style="2"/>
    <col min="14849" max="14849" width="14.5703125" style="2" customWidth="1"/>
    <col min="14850" max="15104" width="9.140625" style="2"/>
    <col min="15105" max="15105" width="14.5703125" style="2" customWidth="1"/>
    <col min="15106" max="15360" width="9.140625" style="2"/>
    <col min="15361" max="15361" width="14.5703125" style="2" customWidth="1"/>
    <col min="15362" max="15616" width="9.140625" style="2"/>
    <col min="15617" max="15617" width="14.5703125" style="2" customWidth="1"/>
    <col min="15618" max="15872" width="9.140625" style="2"/>
    <col min="15873" max="15873" width="14.5703125" style="2" customWidth="1"/>
    <col min="15874" max="16128" width="9.140625" style="2"/>
    <col min="16129" max="16129" width="14.5703125" style="2" customWidth="1"/>
    <col min="16130" max="16384" width="9.140625" style="2"/>
  </cols>
  <sheetData>
    <row r="15" spans="1:11" ht="30">
      <c r="A15" s="657" t="s">
        <v>0</v>
      </c>
      <c r="B15" s="657"/>
      <c r="C15" s="657"/>
      <c r="D15" s="657"/>
      <c r="E15" s="657"/>
      <c r="F15" s="657"/>
      <c r="G15" s="657"/>
      <c r="H15" s="657"/>
      <c r="I15" s="657"/>
      <c r="J15" s="657"/>
      <c r="K15" s="657"/>
    </row>
    <row r="16" spans="1:11" ht="30">
      <c r="A16" s="1"/>
      <c r="B16" s="1"/>
      <c r="C16" s="1"/>
      <c r="D16" s="1"/>
    </row>
    <row r="17" spans="1:7" ht="30">
      <c r="A17" s="1"/>
      <c r="B17" s="1"/>
      <c r="C17" s="1"/>
      <c r="D17" s="1"/>
    </row>
    <row r="18" spans="1:7" ht="30">
      <c r="A18" s="1"/>
      <c r="B18" s="1"/>
      <c r="C18" s="1" t="s">
        <v>1</v>
      </c>
      <c r="D18" s="657" t="s">
        <v>414</v>
      </c>
      <c r="E18" s="657"/>
      <c r="F18" s="657"/>
      <c r="G18" s="657"/>
    </row>
    <row r="19" spans="1:7" ht="30">
      <c r="A19" s="1"/>
      <c r="B19" s="1"/>
      <c r="C19" s="1"/>
      <c r="D19" s="1"/>
    </row>
  </sheetData>
  <mergeCells count="2">
    <mergeCell ref="A15:K15"/>
    <mergeCell ref="D18:G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142"/>
  <sheetViews>
    <sheetView topLeftCell="A37" zoomScaleNormal="100" workbookViewId="0">
      <selection activeCell="F69" sqref="F69"/>
    </sheetView>
  </sheetViews>
  <sheetFormatPr defaultRowHeight="47.25" customHeight="1"/>
  <cols>
    <col min="1" max="1" width="1.42578125" style="3" customWidth="1"/>
    <col min="2" max="9" width="9.140625" style="367"/>
    <col min="10" max="10" width="36.28515625" style="367" customWidth="1"/>
    <col min="11" max="11" width="5.140625" style="93" customWidth="1"/>
    <col min="12" max="243" width="9.140625" style="3"/>
    <col min="244" max="244" width="17.5703125" style="3" customWidth="1"/>
    <col min="245" max="245" width="5.140625" style="3" customWidth="1"/>
    <col min="246" max="499" width="9.140625" style="3"/>
    <col min="500" max="500" width="17.5703125" style="3" customWidth="1"/>
    <col min="501" max="501" width="5.140625" style="3" customWidth="1"/>
    <col min="502" max="755" width="9.140625" style="3"/>
    <col min="756" max="756" width="17.5703125" style="3" customWidth="1"/>
    <col min="757" max="757" width="5.140625" style="3" customWidth="1"/>
    <col min="758" max="1011" width="9.140625" style="3"/>
    <col min="1012" max="1012" width="17.5703125" style="3" customWidth="1"/>
    <col min="1013" max="1013" width="5.140625" style="3" customWidth="1"/>
    <col min="1014" max="1267" width="9.140625" style="3"/>
    <col min="1268" max="1268" width="17.5703125" style="3" customWidth="1"/>
    <col min="1269" max="1269" width="5.140625" style="3" customWidth="1"/>
    <col min="1270" max="1523" width="9.140625" style="3"/>
    <col min="1524" max="1524" width="17.5703125" style="3" customWidth="1"/>
    <col min="1525" max="1525" width="5.140625" style="3" customWidth="1"/>
    <col min="1526" max="1779" width="9.140625" style="3"/>
    <col min="1780" max="1780" width="17.5703125" style="3" customWidth="1"/>
    <col min="1781" max="1781" width="5.140625" style="3" customWidth="1"/>
    <col min="1782" max="2035" width="9.140625" style="3"/>
    <col min="2036" max="2036" width="17.5703125" style="3" customWidth="1"/>
    <col min="2037" max="2037" width="5.140625" style="3" customWidth="1"/>
    <col min="2038" max="2291" width="9.140625" style="3"/>
    <col min="2292" max="2292" width="17.5703125" style="3" customWidth="1"/>
    <col min="2293" max="2293" width="5.140625" style="3" customWidth="1"/>
    <col min="2294" max="2547" width="9.140625" style="3"/>
    <col min="2548" max="2548" width="17.5703125" style="3" customWidth="1"/>
    <col min="2549" max="2549" width="5.140625" style="3" customWidth="1"/>
    <col min="2550" max="2803" width="9.140625" style="3"/>
    <col min="2804" max="2804" width="17.5703125" style="3" customWidth="1"/>
    <col min="2805" max="2805" width="5.140625" style="3" customWidth="1"/>
    <col min="2806" max="3059" width="9.140625" style="3"/>
    <col min="3060" max="3060" width="17.5703125" style="3" customWidth="1"/>
    <col min="3061" max="3061" width="5.140625" style="3" customWidth="1"/>
    <col min="3062" max="3315" width="9.140625" style="3"/>
    <col min="3316" max="3316" width="17.5703125" style="3" customWidth="1"/>
    <col min="3317" max="3317" width="5.140625" style="3" customWidth="1"/>
    <col min="3318" max="3571" width="9.140625" style="3"/>
    <col min="3572" max="3572" width="17.5703125" style="3" customWidth="1"/>
    <col min="3573" max="3573" width="5.140625" style="3" customWidth="1"/>
    <col min="3574" max="3827" width="9.140625" style="3"/>
    <col min="3828" max="3828" width="17.5703125" style="3" customWidth="1"/>
    <col min="3829" max="3829" width="5.140625" style="3" customWidth="1"/>
    <col min="3830" max="4083" width="9.140625" style="3"/>
    <col min="4084" max="4084" width="17.5703125" style="3" customWidth="1"/>
    <col min="4085" max="4085" width="5.140625" style="3" customWidth="1"/>
    <col min="4086" max="4339" width="9.140625" style="3"/>
    <col min="4340" max="4340" width="17.5703125" style="3" customWidth="1"/>
    <col min="4341" max="4341" width="5.140625" style="3" customWidth="1"/>
    <col min="4342" max="4595" width="9.140625" style="3"/>
    <col min="4596" max="4596" width="17.5703125" style="3" customWidth="1"/>
    <col min="4597" max="4597" width="5.140625" style="3" customWidth="1"/>
    <col min="4598" max="4851" width="9.140625" style="3"/>
    <col min="4852" max="4852" width="17.5703125" style="3" customWidth="1"/>
    <col min="4853" max="4853" width="5.140625" style="3" customWidth="1"/>
    <col min="4854" max="5107" width="9.140625" style="3"/>
    <col min="5108" max="5108" width="17.5703125" style="3" customWidth="1"/>
    <col min="5109" max="5109" width="5.140625" style="3" customWidth="1"/>
    <col min="5110" max="5363" width="9.140625" style="3"/>
    <col min="5364" max="5364" width="17.5703125" style="3" customWidth="1"/>
    <col min="5365" max="5365" width="5.140625" style="3" customWidth="1"/>
    <col min="5366" max="5619" width="9.140625" style="3"/>
    <col min="5620" max="5620" width="17.5703125" style="3" customWidth="1"/>
    <col min="5621" max="5621" width="5.140625" style="3" customWidth="1"/>
    <col min="5622" max="5875" width="9.140625" style="3"/>
    <col min="5876" max="5876" width="17.5703125" style="3" customWidth="1"/>
    <col min="5877" max="5877" width="5.140625" style="3" customWidth="1"/>
    <col min="5878" max="6131" width="9.140625" style="3"/>
    <col min="6132" max="6132" width="17.5703125" style="3" customWidth="1"/>
    <col min="6133" max="6133" width="5.140625" style="3" customWidth="1"/>
    <col min="6134" max="6387" width="9.140625" style="3"/>
    <col min="6388" max="6388" width="17.5703125" style="3" customWidth="1"/>
    <col min="6389" max="6389" width="5.140625" style="3" customWidth="1"/>
    <col min="6390" max="6643" width="9.140625" style="3"/>
    <col min="6644" max="6644" width="17.5703125" style="3" customWidth="1"/>
    <col min="6645" max="6645" width="5.140625" style="3" customWidth="1"/>
    <col min="6646" max="6899" width="9.140625" style="3"/>
    <col min="6900" max="6900" width="17.5703125" style="3" customWidth="1"/>
    <col min="6901" max="6901" width="5.140625" style="3" customWidth="1"/>
    <col min="6902" max="7155" width="9.140625" style="3"/>
    <col min="7156" max="7156" width="17.5703125" style="3" customWidth="1"/>
    <col min="7157" max="7157" width="5.140625" style="3" customWidth="1"/>
    <col min="7158" max="7411" width="9.140625" style="3"/>
    <col min="7412" max="7412" width="17.5703125" style="3" customWidth="1"/>
    <col min="7413" max="7413" width="5.140625" style="3" customWidth="1"/>
    <col min="7414" max="7667" width="9.140625" style="3"/>
    <col min="7668" max="7668" width="17.5703125" style="3" customWidth="1"/>
    <col min="7669" max="7669" width="5.140625" style="3" customWidth="1"/>
    <col min="7670" max="7923" width="9.140625" style="3"/>
    <col min="7924" max="7924" width="17.5703125" style="3" customWidth="1"/>
    <col min="7925" max="7925" width="5.140625" style="3" customWidth="1"/>
    <col min="7926" max="8179" width="9.140625" style="3"/>
    <col min="8180" max="8180" width="17.5703125" style="3" customWidth="1"/>
    <col min="8181" max="8181" width="5.140625" style="3" customWidth="1"/>
    <col min="8182" max="8435" width="9.140625" style="3"/>
    <col min="8436" max="8436" width="17.5703125" style="3" customWidth="1"/>
    <col min="8437" max="8437" width="5.140625" style="3" customWidth="1"/>
    <col min="8438" max="8691" width="9.140625" style="3"/>
    <col min="8692" max="8692" width="17.5703125" style="3" customWidth="1"/>
    <col min="8693" max="8693" width="5.140625" style="3" customWidth="1"/>
    <col min="8694" max="8947" width="9.140625" style="3"/>
    <col min="8948" max="8948" width="17.5703125" style="3" customWidth="1"/>
    <col min="8949" max="8949" width="5.140625" style="3" customWidth="1"/>
    <col min="8950" max="9203" width="9.140625" style="3"/>
    <col min="9204" max="9204" width="17.5703125" style="3" customWidth="1"/>
    <col min="9205" max="9205" width="5.140625" style="3" customWidth="1"/>
    <col min="9206" max="9459" width="9.140625" style="3"/>
    <col min="9460" max="9460" width="17.5703125" style="3" customWidth="1"/>
    <col min="9461" max="9461" width="5.140625" style="3" customWidth="1"/>
    <col min="9462" max="9715" width="9.140625" style="3"/>
    <col min="9716" max="9716" width="17.5703125" style="3" customWidth="1"/>
    <col min="9717" max="9717" width="5.140625" style="3" customWidth="1"/>
    <col min="9718" max="9971" width="9.140625" style="3"/>
    <col min="9972" max="9972" width="17.5703125" style="3" customWidth="1"/>
    <col min="9973" max="9973" width="5.140625" style="3" customWidth="1"/>
    <col min="9974" max="10227" width="9.140625" style="3"/>
    <col min="10228" max="10228" width="17.5703125" style="3" customWidth="1"/>
    <col min="10229" max="10229" width="5.140625" style="3" customWidth="1"/>
    <col min="10230" max="10483" width="9.140625" style="3"/>
    <col min="10484" max="10484" width="17.5703125" style="3" customWidth="1"/>
    <col min="10485" max="10485" width="5.140625" style="3" customWidth="1"/>
    <col min="10486" max="10739" width="9.140625" style="3"/>
    <col min="10740" max="10740" width="17.5703125" style="3" customWidth="1"/>
    <col min="10741" max="10741" width="5.140625" style="3" customWidth="1"/>
    <col min="10742" max="10995" width="9.140625" style="3"/>
    <col min="10996" max="10996" width="17.5703125" style="3" customWidth="1"/>
    <col min="10997" max="10997" width="5.140625" style="3" customWidth="1"/>
    <col min="10998" max="11251" width="9.140625" style="3"/>
    <col min="11252" max="11252" width="17.5703125" style="3" customWidth="1"/>
    <col min="11253" max="11253" width="5.140625" style="3" customWidth="1"/>
    <col min="11254" max="11507" width="9.140625" style="3"/>
    <col min="11508" max="11508" width="17.5703125" style="3" customWidth="1"/>
    <col min="11509" max="11509" width="5.140625" style="3" customWidth="1"/>
    <col min="11510" max="11763" width="9.140625" style="3"/>
    <col min="11764" max="11764" width="17.5703125" style="3" customWidth="1"/>
    <col min="11765" max="11765" width="5.140625" style="3" customWidth="1"/>
    <col min="11766" max="12019" width="9.140625" style="3"/>
    <col min="12020" max="12020" width="17.5703125" style="3" customWidth="1"/>
    <col min="12021" max="12021" width="5.140625" style="3" customWidth="1"/>
    <col min="12022" max="12275" width="9.140625" style="3"/>
    <col min="12276" max="12276" width="17.5703125" style="3" customWidth="1"/>
    <col min="12277" max="12277" width="5.140625" style="3" customWidth="1"/>
    <col min="12278" max="12531" width="9.140625" style="3"/>
    <col min="12532" max="12532" width="17.5703125" style="3" customWidth="1"/>
    <col min="12533" max="12533" width="5.140625" style="3" customWidth="1"/>
    <col min="12534" max="12787" width="9.140625" style="3"/>
    <col min="12788" max="12788" width="17.5703125" style="3" customWidth="1"/>
    <col min="12789" max="12789" width="5.140625" style="3" customWidth="1"/>
    <col min="12790" max="13043" width="9.140625" style="3"/>
    <col min="13044" max="13044" width="17.5703125" style="3" customWidth="1"/>
    <col min="13045" max="13045" width="5.140625" style="3" customWidth="1"/>
    <col min="13046" max="13299" width="9.140625" style="3"/>
    <col min="13300" max="13300" width="17.5703125" style="3" customWidth="1"/>
    <col min="13301" max="13301" width="5.140625" style="3" customWidth="1"/>
    <col min="13302" max="13555" width="9.140625" style="3"/>
    <col min="13556" max="13556" width="17.5703125" style="3" customWidth="1"/>
    <col min="13557" max="13557" width="5.140625" style="3" customWidth="1"/>
    <col min="13558" max="13811" width="9.140625" style="3"/>
    <col min="13812" max="13812" width="17.5703125" style="3" customWidth="1"/>
    <col min="13813" max="13813" width="5.140625" style="3" customWidth="1"/>
    <col min="13814" max="14067" width="9.140625" style="3"/>
    <col min="14068" max="14068" width="17.5703125" style="3" customWidth="1"/>
    <col min="14069" max="14069" width="5.140625" style="3" customWidth="1"/>
    <col min="14070" max="14323" width="9.140625" style="3"/>
    <col min="14324" max="14324" width="17.5703125" style="3" customWidth="1"/>
    <col min="14325" max="14325" width="5.140625" style="3" customWidth="1"/>
    <col min="14326" max="14579" width="9.140625" style="3"/>
    <col min="14580" max="14580" width="17.5703125" style="3" customWidth="1"/>
    <col min="14581" max="14581" width="5.140625" style="3" customWidth="1"/>
    <col min="14582" max="14835" width="9.140625" style="3"/>
    <col min="14836" max="14836" width="17.5703125" style="3" customWidth="1"/>
    <col min="14837" max="14837" width="5.140625" style="3" customWidth="1"/>
    <col min="14838" max="15091" width="9.140625" style="3"/>
    <col min="15092" max="15092" width="17.5703125" style="3" customWidth="1"/>
    <col min="15093" max="15093" width="5.140625" style="3" customWidth="1"/>
    <col min="15094" max="15347" width="9.140625" style="3"/>
    <col min="15348" max="15348" width="17.5703125" style="3" customWidth="1"/>
    <col min="15349" max="15349" width="5.140625" style="3" customWidth="1"/>
    <col min="15350" max="15603" width="9.140625" style="3"/>
    <col min="15604" max="15604" width="17.5703125" style="3" customWidth="1"/>
    <col min="15605" max="15605" width="5.140625" style="3" customWidth="1"/>
    <col min="15606" max="15859" width="9.140625" style="3"/>
    <col min="15860" max="15860" width="17.5703125" style="3" customWidth="1"/>
    <col min="15861" max="15861" width="5.140625" style="3" customWidth="1"/>
    <col min="15862" max="16115" width="9.140625" style="3"/>
    <col min="16116" max="16116" width="17.5703125" style="3" customWidth="1"/>
    <col min="16117" max="16117" width="5.140625" style="3" customWidth="1"/>
    <col min="16118" max="16384" width="9.140625" style="3"/>
  </cols>
  <sheetData>
    <row r="1" spans="1:11" ht="47.25" customHeight="1">
      <c r="B1" s="671" t="s">
        <v>574</v>
      </c>
      <c r="C1" s="671"/>
      <c r="D1" s="671"/>
      <c r="E1" s="671"/>
      <c r="F1" s="671"/>
      <c r="G1" s="671"/>
      <c r="H1" s="671"/>
      <c r="I1" s="671"/>
      <c r="J1" s="671"/>
      <c r="K1" s="671"/>
    </row>
    <row r="2" spans="1:11" ht="9" customHeight="1">
      <c r="B2" s="352"/>
      <c r="C2" s="353"/>
      <c r="D2" s="354"/>
      <c r="E2" s="354"/>
      <c r="F2" s="355"/>
      <c r="G2" s="355"/>
      <c r="H2" s="355"/>
      <c r="I2" s="355"/>
      <c r="J2" s="674"/>
      <c r="K2" s="675"/>
    </row>
    <row r="3" spans="1:11" ht="38.25" customHeight="1">
      <c r="B3" s="666" t="s">
        <v>2</v>
      </c>
      <c r="C3" s="676"/>
      <c r="D3" s="676"/>
      <c r="E3" s="676"/>
      <c r="F3" s="676"/>
      <c r="G3" s="676"/>
      <c r="H3" s="676"/>
      <c r="I3" s="676"/>
      <c r="J3" s="676"/>
      <c r="K3" s="122" t="s">
        <v>575</v>
      </c>
    </row>
    <row r="4" spans="1:11" ht="9.75" customHeight="1">
      <c r="A4" s="364"/>
      <c r="B4" s="82"/>
      <c r="C4" s="83"/>
      <c r="D4" s="83"/>
      <c r="E4" s="83"/>
      <c r="F4" s="83"/>
      <c r="G4" s="83"/>
      <c r="H4" s="83"/>
      <c r="I4" s="83"/>
      <c r="J4" s="83"/>
      <c r="K4" s="85"/>
    </row>
    <row r="5" spans="1:11" s="99" customFormat="1" ht="21" customHeight="1">
      <c r="A5" s="365"/>
      <c r="B5" s="658" t="s">
        <v>420</v>
      </c>
      <c r="C5" s="659"/>
      <c r="D5" s="659"/>
      <c r="E5" s="659"/>
      <c r="F5" s="659"/>
      <c r="G5" s="659"/>
      <c r="H5" s="659"/>
      <c r="I5" s="659"/>
      <c r="J5" s="659"/>
      <c r="K5" s="88">
        <v>3</v>
      </c>
    </row>
    <row r="6" spans="1:11" s="99" customFormat="1" ht="20.25" customHeight="1">
      <c r="A6" s="365"/>
      <c r="B6" s="658" t="s">
        <v>611</v>
      </c>
      <c r="C6" s="659"/>
      <c r="D6" s="659"/>
      <c r="E6" s="659"/>
      <c r="F6" s="659"/>
      <c r="G6" s="659"/>
      <c r="H6" s="659"/>
      <c r="I6" s="659"/>
      <c r="J6" s="659"/>
      <c r="K6" s="88">
        <v>4</v>
      </c>
    </row>
    <row r="7" spans="1:11" ht="11.25" customHeight="1">
      <c r="A7" s="364"/>
      <c r="B7" s="82"/>
      <c r="C7" s="83"/>
      <c r="D7" s="83"/>
      <c r="E7" s="83"/>
      <c r="F7" s="83"/>
      <c r="G7" s="83"/>
      <c r="H7" s="83"/>
      <c r="I7" s="83"/>
      <c r="J7" s="83"/>
      <c r="K7" s="85"/>
    </row>
    <row r="8" spans="1:11" ht="20.25" customHeight="1">
      <c r="A8" s="364"/>
      <c r="B8" s="668" t="s">
        <v>3</v>
      </c>
      <c r="C8" s="669"/>
      <c r="D8" s="669"/>
      <c r="E8" s="669"/>
      <c r="F8" s="669"/>
      <c r="G8" s="669"/>
      <c r="H8" s="669"/>
      <c r="I8" s="669"/>
      <c r="J8" s="669"/>
      <c r="K8" s="87"/>
    </row>
    <row r="9" spans="1:11" s="364" customFormat="1" ht="6.75" customHeight="1">
      <c r="B9" s="369" t="s">
        <v>4</v>
      </c>
      <c r="C9" s="370"/>
      <c r="D9" s="370"/>
      <c r="E9" s="370"/>
      <c r="F9" s="370"/>
      <c r="G9" s="370"/>
      <c r="H9" s="370"/>
      <c r="I9" s="370"/>
      <c r="J9" s="370"/>
      <c r="K9" s="87"/>
    </row>
    <row r="10" spans="1:11" s="99" customFormat="1" ht="15">
      <c r="A10" s="365"/>
      <c r="B10" s="658" t="s">
        <v>440</v>
      </c>
      <c r="C10" s="659"/>
      <c r="D10" s="659"/>
      <c r="E10" s="659"/>
      <c r="F10" s="659"/>
      <c r="G10" s="659"/>
      <c r="H10" s="659"/>
      <c r="I10" s="659"/>
      <c r="J10" s="659"/>
      <c r="K10" s="88">
        <v>5</v>
      </c>
    </row>
    <row r="11" spans="1:11" s="99" customFormat="1" ht="15">
      <c r="A11" s="365"/>
      <c r="B11" s="658" t="s">
        <v>441</v>
      </c>
      <c r="C11" s="659"/>
      <c r="D11" s="659"/>
      <c r="E11" s="659"/>
      <c r="F11" s="659"/>
      <c r="G11" s="659"/>
      <c r="H11" s="659"/>
      <c r="I11" s="659"/>
      <c r="J11" s="659"/>
      <c r="K11" s="88">
        <v>5</v>
      </c>
    </row>
    <row r="12" spans="1:11" s="99" customFormat="1" ht="15">
      <c r="A12" s="365"/>
      <c r="B12" s="658" t="s">
        <v>442</v>
      </c>
      <c r="C12" s="659"/>
      <c r="D12" s="659"/>
      <c r="E12" s="659"/>
      <c r="F12" s="659"/>
      <c r="G12" s="659"/>
      <c r="H12" s="659"/>
      <c r="I12" s="659"/>
      <c r="J12" s="659"/>
      <c r="K12" s="88">
        <v>6</v>
      </c>
    </row>
    <row r="13" spans="1:11" s="99" customFormat="1" ht="27" customHeight="1">
      <c r="A13" s="365"/>
      <c r="B13" s="661" t="s">
        <v>576</v>
      </c>
      <c r="C13" s="662"/>
      <c r="D13" s="662"/>
      <c r="E13" s="662"/>
      <c r="F13" s="662"/>
      <c r="G13" s="662"/>
      <c r="H13" s="662"/>
      <c r="I13" s="662"/>
      <c r="J13" s="663"/>
      <c r="K13" s="88">
        <v>6</v>
      </c>
    </row>
    <row r="14" spans="1:11" s="99" customFormat="1" ht="28.5" customHeight="1">
      <c r="A14" s="365"/>
      <c r="B14" s="661" t="s">
        <v>612</v>
      </c>
      <c r="C14" s="662"/>
      <c r="D14" s="662"/>
      <c r="E14" s="662"/>
      <c r="F14" s="662"/>
      <c r="G14" s="662"/>
      <c r="H14" s="662"/>
      <c r="I14" s="662"/>
      <c r="J14" s="663"/>
      <c r="K14" s="88">
        <v>7</v>
      </c>
    </row>
    <row r="15" spans="1:11" s="99" customFormat="1" ht="15">
      <c r="A15" s="365"/>
      <c r="B15" s="672" t="s">
        <v>439</v>
      </c>
      <c r="C15" s="673"/>
      <c r="D15" s="673"/>
      <c r="E15" s="673"/>
      <c r="F15" s="673"/>
      <c r="G15" s="673"/>
      <c r="H15" s="673"/>
      <c r="I15" s="673"/>
      <c r="J15" s="673"/>
      <c r="K15" s="88">
        <v>8</v>
      </c>
    </row>
    <row r="16" spans="1:11" s="99" customFormat="1" ht="6.75" customHeight="1">
      <c r="A16" s="365"/>
      <c r="B16" s="565"/>
      <c r="C16" s="370"/>
      <c r="D16" s="370"/>
      <c r="E16" s="370"/>
      <c r="F16" s="370"/>
      <c r="G16" s="370"/>
      <c r="H16" s="370"/>
      <c r="I16" s="370"/>
      <c r="J16" s="370"/>
      <c r="K16" s="86"/>
    </row>
    <row r="17" spans="1:11" ht="31.5" customHeight="1">
      <c r="A17" s="364"/>
      <c r="B17" s="666" t="s">
        <v>5</v>
      </c>
      <c r="C17" s="667"/>
      <c r="D17" s="667"/>
      <c r="E17" s="667"/>
      <c r="F17" s="667"/>
      <c r="G17" s="667"/>
      <c r="H17" s="667"/>
      <c r="I17" s="667"/>
      <c r="J17" s="667"/>
      <c r="K17" s="89"/>
    </row>
    <row r="18" spans="1:11" ht="8.25" customHeight="1">
      <c r="A18" s="364"/>
      <c r="B18" s="356"/>
      <c r="C18" s="83"/>
      <c r="D18" s="83"/>
      <c r="E18" s="83"/>
      <c r="F18" s="83"/>
      <c r="G18" s="83"/>
      <c r="H18" s="83"/>
      <c r="I18" s="83"/>
      <c r="J18" s="83"/>
      <c r="K18" s="86"/>
    </row>
    <row r="19" spans="1:11" s="99" customFormat="1" ht="18.75" customHeight="1">
      <c r="A19" s="365"/>
      <c r="B19" s="658" t="s">
        <v>443</v>
      </c>
      <c r="C19" s="659"/>
      <c r="D19" s="659"/>
      <c r="E19" s="659"/>
      <c r="F19" s="659"/>
      <c r="G19" s="659"/>
      <c r="H19" s="659"/>
      <c r="I19" s="659"/>
      <c r="J19" s="659"/>
      <c r="K19" s="88">
        <v>9</v>
      </c>
    </row>
    <row r="20" spans="1:11" s="99" customFormat="1" ht="19.5" customHeight="1">
      <c r="A20" s="365"/>
      <c r="B20" s="658" t="s">
        <v>446</v>
      </c>
      <c r="C20" s="659"/>
      <c r="D20" s="659"/>
      <c r="E20" s="659"/>
      <c r="F20" s="659"/>
      <c r="G20" s="659"/>
      <c r="H20" s="659"/>
      <c r="I20" s="659"/>
      <c r="J20" s="659"/>
      <c r="K20" s="88">
        <v>10</v>
      </c>
    </row>
    <row r="21" spans="1:11" s="99" customFormat="1" ht="19.5" customHeight="1">
      <c r="A21" s="365"/>
      <c r="B21" s="658" t="s">
        <v>445</v>
      </c>
      <c r="C21" s="659"/>
      <c r="D21" s="659"/>
      <c r="E21" s="659"/>
      <c r="F21" s="659"/>
      <c r="G21" s="659"/>
      <c r="H21" s="659"/>
      <c r="I21" s="659"/>
      <c r="J21" s="659"/>
      <c r="K21" s="88">
        <v>11</v>
      </c>
    </row>
    <row r="22" spans="1:11" s="99" customFormat="1" ht="16.5" customHeight="1">
      <c r="A22" s="365"/>
      <c r="B22" s="658" t="s">
        <v>598</v>
      </c>
      <c r="C22" s="659"/>
      <c r="D22" s="659"/>
      <c r="E22" s="659"/>
      <c r="F22" s="659"/>
      <c r="G22" s="659"/>
      <c r="H22" s="659"/>
      <c r="I22" s="659"/>
      <c r="J22" s="659"/>
      <c r="K22" s="88">
        <v>12</v>
      </c>
    </row>
    <row r="23" spans="1:11" s="99" customFormat="1" ht="20.25" customHeight="1">
      <c r="A23" s="365"/>
      <c r="B23" s="658" t="s">
        <v>599</v>
      </c>
      <c r="C23" s="659"/>
      <c r="D23" s="659"/>
      <c r="E23" s="659"/>
      <c r="F23" s="659"/>
      <c r="G23" s="659"/>
      <c r="H23" s="659"/>
      <c r="I23" s="659"/>
      <c r="J23" s="659"/>
      <c r="K23" s="88">
        <v>13</v>
      </c>
    </row>
    <row r="24" spans="1:11" ht="8.25" customHeight="1">
      <c r="A24" s="364"/>
      <c r="B24" s="82"/>
      <c r="C24" s="83"/>
      <c r="D24" s="83"/>
      <c r="E24" s="83"/>
      <c r="F24" s="83"/>
      <c r="G24" s="83"/>
      <c r="H24" s="83"/>
      <c r="I24" s="83"/>
      <c r="J24" s="83"/>
      <c r="K24" s="90"/>
    </row>
    <row r="25" spans="1:11" ht="20.25" customHeight="1">
      <c r="A25" s="364"/>
      <c r="B25" s="668" t="s">
        <v>6</v>
      </c>
      <c r="C25" s="669"/>
      <c r="D25" s="669"/>
      <c r="E25" s="669"/>
      <c r="F25" s="669"/>
      <c r="G25" s="669"/>
      <c r="H25" s="669"/>
      <c r="I25" s="669"/>
      <c r="J25" s="669"/>
      <c r="K25" s="91"/>
    </row>
    <row r="26" spans="1:11" ht="7.5" customHeight="1">
      <c r="A26" s="364"/>
      <c r="B26" s="82"/>
      <c r="C26" s="83"/>
      <c r="D26" s="83"/>
      <c r="E26" s="83"/>
      <c r="F26" s="83"/>
      <c r="G26" s="83"/>
      <c r="H26" s="83"/>
      <c r="I26" s="83"/>
      <c r="J26" s="83"/>
      <c r="K26" s="90"/>
    </row>
    <row r="27" spans="1:11" s="99" customFormat="1" ht="15">
      <c r="A27" s="365"/>
      <c r="B27" s="658" t="s">
        <v>448</v>
      </c>
      <c r="C27" s="659"/>
      <c r="D27" s="659"/>
      <c r="E27" s="659"/>
      <c r="F27" s="659"/>
      <c r="G27" s="659"/>
      <c r="H27" s="659"/>
      <c r="I27" s="659"/>
      <c r="J27" s="659"/>
      <c r="K27" s="88">
        <v>14</v>
      </c>
    </row>
    <row r="28" spans="1:11" s="99" customFormat="1" ht="15">
      <c r="A28" s="365"/>
      <c r="B28" s="658" t="s">
        <v>449</v>
      </c>
      <c r="C28" s="659"/>
      <c r="D28" s="659"/>
      <c r="E28" s="659"/>
      <c r="F28" s="659"/>
      <c r="G28" s="659"/>
      <c r="H28" s="659"/>
      <c r="I28" s="659"/>
      <c r="J28" s="659"/>
      <c r="K28" s="88">
        <v>15</v>
      </c>
    </row>
    <row r="29" spans="1:11" s="99" customFormat="1" ht="15">
      <c r="A29" s="365"/>
      <c r="B29" s="658" t="s">
        <v>450</v>
      </c>
      <c r="C29" s="659"/>
      <c r="D29" s="659"/>
      <c r="E29" s="659"/>
      <c r="F29" s="659"/>
      <c r="G29" s="659"/>
      <c r="H29" s="659"/>
      <c r="I29" s="659"/>
      <c r="J29" s="659"/>
      <c r="K29" s="88">
        <v>16</v>
      </c>
    </row>
    <row r="30" spans="1:11" s="99" customFormat="1" ht="15">
      <c r="A30" s="365"/>
      <c r="B30" s="658" t="s">
        <v>451</v>
      </c>
      <c r="C30" s="659"/>
      <c r="D30" s="659"/>
      <c r="E30" s="659"/>
      <c r="F30" s="659"/>
      <c r="G30" s="659"/>
      <c r="H30" s="659"/>
      <c r="I30" s="659"/>
      <c r="J30" s="659"/>
      <c r="K30" s="88">
        <v>17</v>
      </c>
    </row>
    <row r="31" spans="1:11" s="99" customFormat="1" ht="15">
      <c r="A31" s="365"/>
      <c r="B31" s="658" t="s">
        <v>600</v>
      </c>
      <c r="C31" s="659"/>
      <c r="D31" s="659"/>
      <c r="E31" s="659"/>
      <c r="F31" s="659"/>
      <c r="G31" s="659"/>
      <c r="H31" s="659"/>
      <c r="I31" s="659"/>
      <c r="J31" s="659"/>
      <c r="K31" s="88">
        <v>18</v>
      </c>
    </row>
    <row r="32" spans="1:11" s="99" customFormat="1" ht="15">
      <c r="A32" s="365"/>
      <c r="B32" s="658" t="s">
        <v>601</v>
      </c>
      <c r="C32" s="659"/>
      <c r="D32" s="659"/>
      <c r="E32" s="659"/>
      <c r="F32" s="659"/>
      <c r="G32" s="659"/>
      <c r="H32" s="659"/>
      <c r="I32" s="659"/>
      <c r="J32" s="659"/>
      <c r="K32" s="88">
        <v>19</v>
      </c>
    </row>
    <row r="33" spans="1:11" s="99" customFormat="1" ht="15">
      <c r="A33" s="365"/>
      <c r="B33" s="658" t="s">
        <v>577</v>
      </c>
      <c r="C33" s="659"/>
      <c r="D33" s="659"/>
      <c r="E33" s="659"/>
      <c r="F33" s="659"/>
      <c r="G33" s="659"/>
      <c r="H33" s="659"/>
      <c r="I33" s="659"/>
      <c r="J33" s="659"/>
      <c r="K33" s="88">
        <v>20</v>
      </c>
    </row>
    <row r="34" spans="1:11" s="99" customFormat="1" ht="15">
      <c r="A34" s="365"/>
      <c r="B34" s="658" t="s">
        <v>602</v>
      </c>
      <c r="C34" s="659"/>
      <c r="D34" s="659"/>
      <c r="E34" s="659"/>
      <c r="F34" s="659"/>
      <c r="G34" s="659"/>
      <c r="H34" s="659"/>
      <c r="I34" s="659"/>
      <c r="J34" s="659"/>
      <c r="K34" s="88">
        <v>21</v>
      </c>
    </row>
    <row r="35" spans="1:11" s="99" customFormat="1" ht="15">
      <c r="A35" s="365"/>
      <c r="B35" s="658" t="s">
        <v>603</v>
      </c>
      <c r="C35" s="659"/>
      <c r="D35" s="659"/>
      <c r="E35" s="659"/>
      <c r="F35" s="659"/>
      <c r="G35" s="659"/>
      <c r="H35" s="659"/>
      <c r="I35" s="659"/>
      <c r="J35" s="659"/>
      <c r="K35" s="88">
        <v>22</v>
      </c>
    </row>
    <row r="36" spans="1:11" s="99" customFormat="1" ht="15">
      <c r="A36" s="365"/>
      <c r="B36" s="658" t="s">
        <v>583</v>
      </c>
      <c r="C36" s="659"/>
      <c r="D36" s="659"/>
      <c r="E36" s="659"/>
      <c r="F36" s="659"/>
      <c r="G36" s="659"/>
      <c r="H36" s="659"/>
      <c r="I36" s="659"/>
      <c r="J36" s="659"/>
      <c r="K36" s="88">
        <v>23</v>
      </c>
    </row>
    <row r="37" spans="1:11" s="99" customFormat="1" ht="15">
      <c r="A37" s="365"/>
      <c r="B37" s="658" t="s">
        <v>584</v>
      </c>
      <c r="C37" s="659"/>
      <c r="D37" s="659"/>
      <c r="E37" s="659"/>
      <c r="F37" s="659"/>
      <c r="G37" s="659"/>
      <c r="H37" s="659"/>
      <c r="I37" s="659"/>
      <c r="J37" s="659"/>
      <c r="K37" s="88">
        <v>24</v>
      </c>
    </row>
    <row r="38" spans="1:11" s="99" customFormat="1" ht="15">
      <c r="A38" s="365"/>
      <c r="B38" s="658" t="s">
        <v>604</v>
      </c>
      <c r="C38" s="659"/>
      <c r="D38" s="659"/>
      <c r="E38" s="659"/>
      <c r="F38" s="659"/>
      <c r="G38" s="659"/>
      <c r="H38" s="659"/>
      <c r="I38" s="659"/>
      <c r="J38" s="659"/>
      <c r="K38" s="88">
        <v>25</v>
      </c>
    </row>
    <row r="39" spans="1:11" s="99" customFormat="1" ht="9" customHeight="1">
      <c r="A39" s="365"/>
      <c r="B39" s="82"/>
      <c r="C39" s="83"/>
      <c r="D39" s="83"/>
      <c r="E39" s="83"/>
      <c r="F39" s="83"/>
      <c r="G39" s="83"/>
      <c r="H39" s="83"/>
      <c r="I39" s="83"/>
      <c r="J39" s="83"/>
      <c r="K39" s="86"/>
    </row>
    <row r="40" spans="1:11" ht="21.75" customHeight="1">
      <c r="A40" s="364"/>
      <c r="B40" s="666" t="s">
        <v>7</v>
      </c>
      <c r="C40" s="670"/>
      <c r="D40" s="670"/>
      <c r="E40" s="670"/>
      <c r="F40" s="670"/>
      <c r="G40" s="670"/>
      <c r="H40" s="670"/>
      <c r="I40" s="670"/>
      <c r="J40" s="670"/>
      <c r="K40" s="89"/>
    </row>
    <row r="41" spans="1:11" ht="9" customHeight="1">
      <c r="A41" s="364"/>
      <c r="B41" s="357"/>
      <c r="C41" s="358"/>
      <c r="D41" s="358"/>
      <c r="E41" s="358"/>
      <c r="F41" s="358"/>
      <c r="G41" s="358"/>
      <c r="H41" s="358"/>
      <c r="I41" s="358"/>
      <c r="J41" s="359"/>
      <c r="K41" s="89"/>
    </row>
    <row r="42" spans="1:11" s="99" customFormat="1" ht="15">
      <c r="A42" s="365"/>
      <c r="B42" s="658" t="s">
        <v>605</v>
      </c>
      <c r="C42" s="659"/>
      <c r="D42" s="659"/>
      <c r="E42" s="659"/>
      <c r="F42" s="659"/>
      <c r="G42" s="659"/>
      <c r="H42" s="659"/>
      <c r="I42" s="659"/>
      <c r="J42" s="660"/>
      <c r="K42" s="100">
        <v>26</v>
      </c>
    </row>
    <row r="43" spans="1:11" s="99" customFormat="1" ht="15">
      <c r="A43" s="365"/>
      <c r="B43" s="658" t="s">
        <v>458</v>
      </c>
      <c r="C43" s="659"/>
      <c r="D43" s="659"/>
      <c r="E43" s="659"/>
      <c r="F43" s="659"/>
      <c r="G43" s="659"/>
      <c r="H43" s="659"/>
      <c r="I43" s="659"/>
      <c r="J43" s="660"/>
      <c r="K43" s="100">
        <v>27</v>
      </c>
    </row>
    <row r="44" spans="1:11" s="99" customFormat="1" ht="15">
      <c r="A44" s="365"/>
      <c r="B44" s="658" t="s">
        <v>459</v>
      </c>
      <c r="C44" s="659"/>
      <c r="D44" s="659"/>
      <c r="E44" s="659"/>
      <c r="F44" s="659"/>
      <c r="G44" s="659"/>
      <c r="H44" s="659"/>
      <c r="I44" s="659"/>
      <c r="J44" s="660"/>
      <c r="K44" s="100">
        <v>28</v>
      </c>
    </row>
    <row r="45" spans="1:11" s="99" customFormat="1" ht="15">
      <c r="A45" s="365"/>
      <c r="B45" s="658" t="s">
        <v>460</v>
      </c>
      <c r="C45" s="659"/>
      <c r="D45" s="659"/>
      <c r="E45" s="659"/>
      <c r="F45" s="659"/>
      <c r="G45" s="659"/>
      <c r="H45" s="659"/>
      <c r="I45" s="659"/>
      <c r="J45" s="660"/>
      <c r="K45" s="100">
        <v>29</v>
      </c>
    </row>
    <row r="46" spans="1:11" s="99" customFormat="1" ht="15">
      <c r="A46" s="365"/>
      <c r="B46" s="658" t="s">
        <v>606</v>
      </c>
      <c r="C46" s="659"/>
      <c r="D46" s="659"/>
      <c r="E46" s="659"/>
      <c r="F46" s="659"/>
      <c r="G46" s="659"/>
      <c r="H46" s="659"/>
      <c r="I46" s="659"/>
      <c r="J46" s="660"/>
      <c r="K46" s="100">
        <v>30</v>
      </c>
    </row>
    <row r="47" spans="1:11" s="99" customFormat="1" ht="15">
      <c r="A47" s="365"/>
      <c r="B47" s="658" t="s">
        <v>461</v>
      </c>
      <c r="C47" s="659"/>
      <c r="D47" s="659"/>
      <c r="E47" s="659"/>
      <c r="F47" s="659"/>
      <c r="G47" s="659"/>
      <c r="H47" s="659"/>
      <c r="I47" s="659"/>
      <c r="J47" s="660"/>
      <c r="K47" s="100">
        <v>31</v>
      </c>
    </row>
    <row r="48" spans="1:11" s="99" customFormat="1" ht="6.75" customHeight="1">
      <c r="A48" s="365"/>
      <c r="B48" s="360"/>
      <c r="C48" s="361"/>
      <c r="D48" s="361"/>
      <c r="E48" s="361"/>
      <c r="F48" s="361"/>
      <c r="G48" s="361"/>
      <c r="H48" s="361"/>
      <c r="I48" s="361"/>
      <c r="J48" s="362"/>
      <c r="K48" s="89"/>
    </row>
    <row r="49" spans="1:11" s="99" customFormat="1" ht="22.5" customHeight="1">
      <c r="A49" s="365"/>
      <c r="B49" s="668" t="s">
        <v>8</v>
      </c>
      <c r="C49" s="669"/>
      <c r="D49" s="669"/>
      <c r="E49" s="669"/>
      <c r="F49" s="669"/>
      <c r="G49" s="669"/>
      <c r="H49" s="669"/>
      <c r="I49" s="669"/>
      <c r="J49" s="669"/>
      <c r="K49" s="89"/>
    </row>
    <row r="50" spans="1:11" s="99" customFormat="1" ht="6" customHeight="1">
      <c r="A50" s="365"/>
      <c r="B50" s="357"/>
      <c r="C50" s="358"/>
      <c r="D50" s="358"/>
      <c r="E50" s="358"/>
      <c r="F50" s="358"/>
      <c r="G50" s="358"/>
      <c r="H50" s="358"/>
      <c r="I50" s="358"/>
      <c r="J50" s="359"/>
      <c r="K50" s="89"/>
    </row>
    <row r="51" spans="1:11" s="99" customFormat="1" ht="15">
      <c r="A51" s="365"/>
      <c r="B51" s="658" t="s">
        <v>607</v>
      </c>
      <c r="C51" s="659"/>
      <c r="D51" s="659"/>
      <c r="E51" s="659"/>
      <c r="F51" s="659"/>
      <c r="G51" s="659"/>
      <c r="H51" s="659"/>
      <c r="I51" s="659"/>
      <c r="J51" s="660"/>
      <c r="K51" s="100">
        <v>32</v>
      </c>
    </row>
    <row r="52" spans="1:11" s="99" customFormat="1" ht="15">
      <c r="A52" s="365"/>
      <c r="B52" s="658" t="s">
        <v>609</v>
      </c>
      <c r="C52" s="659"/>
      <c r="D52" s="659"/>
      <c r="E52" s="659"/>
      <c r="F52" s="659"/>
      <c r="G52" s="659"/>
      <c r="H52" s="659"/>
      <c r="I52" s="659"/>
      <c r="J52" s="660"/>
      <c r="K52" s="100">
        <v>33</v>
      </c>
    </row>
    <row r="53" spans="1:11" s="99" customFormat="1" ht="15">
      <c r="A53" s="365"/>
      <c r="B53" s="658" t="s">
        <v>608</v>
      </c>
      <c r="C53" s="659"/>
      <c r="D53" s="659"/>
      <c r="E53" s="659"/>
      <c r="F53" s="659"/>
      <c r="G53" s="659"/>
      <c r="H53" s="659"/>
      <c r="I53" s="659"/>
      <c r="J53" s="660"/>
      <c r="K53" s="100">
        <v>34</v>
      </c>
    </row>
    <row r="54" spans="1:11" s="99" customFormat="1" ht="15">
      <c r="A54" s="365"/>
      <c r="B54" s="658" t="s">
        <v>610</v>
      </c>
      <c r="C54" s="659"/>
      <c r="D54" s="659"/>
      <c r="E54" s="659"/>
      <c r="F54" s="659"/>
      <c r="G54" s="659"/>
      <c r="H54" s="659"/>
      <c r="I54" s="659"/>
      <c r="J54" s="660"/>
      <c r="K54" s="100">
        <v>35</v>
      </c>
    </row>
    <row r="55" spans="1:11" ht="8.25" customHeight="1">
      <c r="A55" s="364"/>
      <c r="B55" s="82"/>
      <c r="C55" s="83"/>
      <c r="D55" s="83"/>
      <c r="E55" s="83"/>
      <c r="F55" s="83"/>
      <c r="G55" s="83"/>
      <c r="H55" s="83"/>
      <c r="I55" s="83"/>
      <c r="J55" s="363"/>
      <c r="K55" s="89"/>
    </row>
    <row r="56" spans="1:11" s="99" customFormat="1" ht="20.25" customHeight="1">
      <c r="A56" s="365"/>
      <c r="B56" s="666" t="s">
        <v>9</v>
      </c>
      <c r="C56" s="667"/>
      <c r="D56" s="667"/>
      <c r="E56" s="667"/>
      <c r="F56" s="667"/>
      <c r="G56" s="667"/>
      <c r="H56" s="667"/>
      <c r="I56" s="667"/>
      <c r="J56" s="667"/>
      <c r="K56" s="89"/>
    </row>
    <row r="57" spans="1:11" s="99" customFormat="1" ht="8.25" customHeight="1">
      <c r="A57" s="365"/>
      <c r="B57" s="357"/>
      <c r="C57" s="358"/>
      <c r="D57" s="358"/>
      <c r="E57" s="358"/>
      <c r="F57" s="358"/>
      <c r="G57" s="358"/>
      <c r="H57" s="358"/>
      <c r="I57" s="358"/>
      <c r="J57" s="359"/>
      <c r="K57" s="89"/>
    </row>
    <row r="58" spans="1:11" s="99" customFormat="1" ht="15">
      <c r="A58" s="365"/>
      <c r="B58" s="658" t="s">
        <v>471</v>
      </c>
      <c r="C58" s="659"/>
      <c r="D58" s="659"/>
      <c r="E58" s="659"/>
      <c r="F58" s="659"/>
      <c r="G58" s="659"/>
      <c r="H58" s="659"/>
      <c r="I58" s="659"/>
      <c r="J58" s="660"/>
      <c r="K58" s="100">
        <v>36</v>
      </c>
    </row>
    <row r="59" spans="1:11" s="99" customFormat="1" ht="15">
      <c r="A59" s="365"/>
      <c r="B59" s="658" t="s">
        <v>472</v>
      </c>
      <c r="C59" s="659"/>
      <c r="D59" s="659"/>
      <c r="E59" s="659"/>
      <c r="F59" s="659"/>
      <c r="G59" s="659"/>
      <c r="H59" s="659"/>
      <c r="I59" s="659"/>
      <c r="J59" s="660"/>
      <c r="K59" s="100">
        <v>37</v>
      </c>
    </row>
    <row r="60" spans="1:11" s="99" customFormat="1" ht="28.5" customHeight="1">
      <c r="A60" s="365"/>
      <c r="B60" s="661" t="s">
        <v>582</v>
      </c>
      <c r="C60" s="662"/>
      <c r="D60" s="662"/>
      <c r="E60" s="662"/>
      <c r="F60" s="662"/>
      <c r="G60" s="662"/>
      <c r="H60" s="662"/>
      <c r="I60" s="662"/>
      <c r="J60" s="663"/>
      <c r="K60" s="100">
        <v>38</v>
      </c>
    </row>
    <row r="61" spans="1:11" s="99" customFormat="1" ht="6.75" customHeight="1">
      <c r="A61" s="365"/>
      <c r="B61" s="606"/>
      <c r="C61" s="607"/>
      <c r="D61" s="607"/>
      <c r="E61" s="607"/>
      <c r="F61" s="607"/>
      <c r="G61" s="607"/>
      <c r="H61" s="607"/>
      <c r="I61" s="607"/>
      <c r="J61" s="641"/>
      <c r="K61" s="100"/>
    </row>
    <row r="62" spans="1:11" s="99" customFormat="1" ht="15" customHeight="1">
      <c r="A62" s="365"/>
      <c r="B62" s="664" t="s">
        <v>10</v>
      </c>
      <c r="C62" s="665"/>
      <c r="D62" s="665"/>
      <c r="E62" s="665"/>
      <c r="F62" s="665"/>
      <c r="G62" s="665"/>
      <c r="H62" s="665"/>
      <c r="I62" s="665"/>
      <c r="J62" s="665"/>
      <c r="K62" s="89"/>
    </row>
    <row r="63" spans="1:11" s="99" customFormat="1" ht="4.5" customHeight="1">
      <c r="A63" s="365"/>
      <c r="B63" s="638"/>
      <c r="C63" s="639"/>
      <c r="D63" s="639"/>
      <c r="E63" s="639"/>
      <c r="F63" s="639"/>
      <c r="G63" s="639"/>
      <c r="H63" s="639"/>
      <c r="I63" s="639"/>
      <c r="J63" s="640"/>
      <c r="K63" s="89"/>
    </row>
    <row r="64" spans="1:11" s="99" customFormat="1" ht="15">
      <c r="A64" s="365"/>
      <c r="B64" s="658" t="s">
        <v>473</v>
      </c>
      <c r="C64" s="659"/>
      <c r="D64" s="659"/>
      <c r="E64" s="659"/>
      <c r="F64" s="659"/>
      <c r="G64" s="659"/>
      <c r="H64" s="659"/>
      <c r="I64" s="659"/>
      <c r="J64" s="660"/>
      <c r="K64" s="100">
        <v>39</v>
      </c>
    </row>
    <row r="65" spans="1:11" s="99" customFormat="1" ht="15">
      <c r="A65" s="365"/>
      <c r="B65" s="658" t="s">
        <v>474</v>
      </c>
      <c r="C65" s="659"/>
      <c r="D65" s="659"/>
      <c r="E65" s="659"/>
      <c r="F65" s="659"/>
      <c r="G65" s="659"/>
      <c r="H65" s="659"/>
      <c r="I65" s="659"/>
      <c r="J65" s="660"/>
      <c r="K65" s="100">
        <v>40</v>
      </c>
    </row>
    <row r="66" spans="1:11" s="99" customFormat="1" ht="15">
      <c r="A66" s="365"/>
      <c r="B66" s="658" t="s">
        <v>591</v>
      </c>
      <c r="C66" s="659"/>
      <c r="D66" s="659"/>
      <c r="E66" s="659"/>
      <c r="F66" s="659"/>
      <c r="G66" s="659"/>
      <c r="H66" s="659"/>
      <c r="I66" s="659"/>
      <c r="J66" s="660"/>
      <c r="K66" s="100">
        <v>41</v>
      </c>
    </row>
    <row r="67" spans="1:11" s="99" customFormat="1" ht="6" customHeight="1">
      <c r="A67" s="365"/>
      <c r="B67" s="606"/>
      <c r="C67" s="607"/>
      <c r="D67" s="607"/>
      <c r="E67" s="607"/>
      <c r="F67" s="607"/>
      <c r="G67" s="607"/>
      <c r="H67" s="607"/>
      <c r="I67" s="607"/>
      <c r="J67" s="641"/>
      <c r="K67" s="100"/>
    </row>
    <row r="68" spans="1:11" ht="18.75" customHeight="1">
      <c r="B68" s="637"/>
      <c r="C68" s="635"/>
      <c r="D68" s="635"/>
      <c r="E68" s="635"/>
      <c r="F68" s="635"/>
      <c r="G68" s="635"/>
      <c r="H68" s="635"/>
      <c r="I68" s="635"/>
      <c r="J68" s="635"/>
      <c r="K68" s="636"/>
    </row>
    <row r="69" spans="1:11" ht="47.25" customHeight="1">
      <c r="B69" s="366"/>
      <c r="K69" s="92"/>
    </row>
    <row r="70" spans="1:11" ht="47.25" customHeight="1">
      <c r="B70" s="366"/>
      <c r="K70" s="92"/>
    </row>
    <row r="71" spans="1:11" ht="47.25" customHeight="1">
      <c r="B71" s="366"/>
      <c r="K71" s="92"/>
    </row>
    <row r="72" spans="1:11" ht="47.25" customHeight="1">
      <c r="K72" s="92"/>
    </row>
    <row r="73" spans="1:11" ht="47.25" customHeight="1">
      <c r="K73" s="92"/>
    </row>
    <row r="74" spans="1:11" ht="47.25" customHeight="1">
      <c r="K74" s="92"/>
    </row>
    <row r="75" spans="1:11" ht="47.25" customHeight="1">
      <c r="K75" s="92"/>
    </row>
    <row r="76" spans="1:11" ht="47.25" customHeight="1">
      <c r="K76" s="92"/>
    </row>
    <row r="77" spans="1:11" ht="47.25" customHeight="1">
      <c r="K77" s="92"/>
    </row>
    <row r="78" spans="1:11" ht="47.25" customHeight="1">
      <c r="K78" s="92"/>
    </row>
    <row r="79" spans="1:11" ht="47.25" customHeight="1">
      <c r="K79" s="92"/>
    </row>
    <row r="80" spans="1:11" ht="47.25" customHeight="1">
      <c r="K80" s="92"/>
    </row>
    <row r="81" spans="11:11" ht="47.25" customHeight="1">
      <c r="K81" s="92"/>
    </row>
    <row r="82" spans="11:11" ht="47.25" customHeight="1">
      <c r="K82" s="92"/>
    </row>
    <row r="83" spans="11:11" ht="47.25" customHeight="1">
      <c r="K83" s="92"/>
    </row>
    <row r="84" spans="11:11" ht="47.25" customHeight="1">
      <c r="K84" s="92"/>
    </row>
    <row r="85" spans="11:11" ht="47.25" customHeight="1">
      <c r="K85" s="92"/>
    </row>
    <row r="86" spans="11:11" ht="47.25" customHeight="1">
      <c r="K86" s="92"/>
    </row>
    <row r="87" spans="11:11" ht="47.25" customHeight="1">
      <c r="K87" s="92"/>
    </row>
    <row r="88" spans="11:11" ht="47.25" customHeight="1">
      <c r="K88" s="92"/>
    </row>
    <row r="89" spans="11:11" ht="47.25" customHeight="1">
      <c r="K89" s="84"/>
    </row>
    <row r="90" spans="11:11" ht="47.25" customHeight="1">
      <c r="K90" s="84"/>
    </row>
    <row r="91" spans="11:11" ht="47.25" customHeight="1">
      <c r="K91" s="84"/>
    </row>
    <row r="92" spans="11:11" ht="47.25" customHeight="1">
      <c r="K92" s="84"/>
    </row>
    <row r="93" spans="11:11" ht="47.25" customHeight="1">
      <c r="K93" s="84"/>
    </row>
    <row r="94" spans="11:11" ht="47.25" customHeight="1">
      <c r="K94" s="84"/>
    </row>
    <row r="95" spans="11:11" ht="47.25" customHeight="1">
      <c r="K95" s="84"/>
    </row>
    <row r="96" spans="11:11" ht="47.25" customHeight="1">
      <c r="K96" s="84"/>
    </row>
    <row r="97" spans="11:11" ht="47.25" customHeight="1">
      <c r="K97" s="84"/>
    </row>
    <row r="98" spans="11:11" ht="47.25" customHeight="1">
      <c r="K98" s="84"/>
    </row>
    <row r="99" spans="11:11" ht="47.25" customHeight="1">
      <c r="K99" s="84"/>
    </row>
    <row r="100" spans="11:11" ht="47.25" customHeight="1">
      <c r="K100" s="84"/>
    </row>
    <row r="101" spans="11:11" ht="47.25" customHeight="1">
      <c r="K101" s="84"/>
    </row>
    <row r="102" spans="11:11" ht="47.25" customHeight="1">
      <c r="K102" s="84"/>
    </row>
    <row r="103" spans="11:11" ht="47.25" customHeight="1">
      <c r="K103" s="84"/>
    </row>
    <row r="104" spans="11:11" ht="47.25" customHeight="1">
      <c r="K104" s="84"/>
    </row>
    <row r="105" spans="11:11" ht="47.25" customHeight="1">
      <c r="K105" s="84"/>
    </row>
    <row r="106" spans="11:11" ht="47.25" customHeight="1">
      <c r="K106" s="84"/>
    </row>
    <row r="107" spans="11:11" ht="47.25" customHeight="1">
      <c r="K107" s="84"/>
    </row>
    <row r="108" spans="11:11" ht="47.25" customHeight="1">
      <c r="K108" s="84"/>
    </row>
    <row r="109" spans="11:11" ht="47.25" customHeight="1">
      <c r="K109" s="84"/>
    </row>
    <row r="110" spans="11:11" ht="47.25" customHeight="1">
      <c r="K110" s="84"/>
    </row>
    <row r="111" spans="11:11" ht="47.25" customHeight="1">
      <c r="K111" s="84"/>
    </row>
    <row r="112" spans="11:11" ht="47.25" customHeight="1">
      <c r="K112" s="84"/>
    </row>
    <row r="113" spans="11:11" ht="47.25" customHeight="1">
      <c r="K113" s="84"/>
    </row>
    <row r="114" spans="11:11" ht="47.25" customHeight="1">
      <c r="K114" s="84"/>
    </row>
    <row r="115" spans="11:11" ht="47.25" customHeight="1">
      <c r="K115" s="84"/>
    </row>
    <row r="116" spans="11:11" ht="47.25" customHeight="1">
      <c r="K116" s="84"/>
    </row>
    <row r="117" spans="11:11" ht="47.25" customHeight="1">
      <c r="K117" s="84"/>
    </row>
    <row r="118" spans="11:11" ht="47.25" customHeight="1">
      <c r="K118" s="84"/>
    </row>
    <row r="119" spans="11:11" ht="47.25" customHeight="1">
      <c r="K119" s="84"/>
    </row>
    <row r="120" spans="11:11" ht="47.25" customHeight="1">
      <c r="K120" s="84"/>
    </row>
    <row r="121" spans="11:11" ht="47.25" customHeight="1">
      <c r="K121" s="84"/>
    </row>
    <row r="122" spans="11:11" ht="47.25" customHeight="1">
      <c r="K122" s="84"/>
    </row>
    <row r="123" spans="11:11" ht="47.25" customHeight="1">
      <c r="K123" s="84"/>
    </row>
    <row r="124" spans="11:11" ht="47.25" customHeight="1">
      <c r="K124" s="84"/>
    </row>
    <row r="125" spans="11:11" ht="47.25" customHeight="1">
      <c r="K125" s="84"/>
    </row>
    <row r="126" spans="11:11" ht="47.25" customHeight="1">
      <c r="K126" s="84"/>
    </row>
    <row r="127" spans="11:11" ht="47.25" customHeight="1">
      <c r="K127" s="84"/>
    </row>
    <row r="128" spans="11:11" ht="47.25" customHeight="1">
      <c r="K128" s="84"/>
    </row>
    <row r="129" spans="11:11" ht="47.25" customHeight="1">
      <c r="K129" s="84"/>
    </row>
    <row r="130" spans="11:11" ht="47.25" customHeight="1">
      <c r="K130" s="84"/>
    </row>
    <row r="131" spans="11:11" ht="47.25" customHeight="1">
      <c r="K131" s="84"/>
    </row>
    <row r="132" spans="11:11" ht="47.25" customHeight="1">
      <c r="K132" s="84"/>
    </row>
    <row r="133" spans="11:11" ht="47.25" customHeight="1">
      <c r="K133" s="84"/>
    </row>
    <row r="134" spans="11:11" ht="47.25" customHeight="1">
      <c r="K134" s="84"/>
    </row>
    <row r="135" spans="11:11" ht="47.25" customHeight="1">
      <c r="K135" s="84"/>
    </row>
    <row r="136" spans="11:11" ht="47.25" customHeight="1">
      <c r="K136" s="84"/>
    </row>
    <row r="137" spans="11:11" ht="47.25" customHeight="1">
      <c r="K137" s="84"/>
    </row>
    <row r="138" spans="11:11" ht="47.25" customHeight="1">
      <c r="K138" s="84"/>
    </row>
    <row r="139" spans="11:11" ht="47.25" customHeight="1">
      <c r="K139" s="84"/>
    </row>
    <row r="140" spans="11:11" ht="47.25" customHeight="1">
      <c r="K140" s="84"/>
    </row>
    <row r="141" spans="11:11" ht="47.25" customHeight="1">
      <c r="K141" s="84"/>
    </row>
    <row r="142" spans="11:11" ht="47.25" customHeight="1">
      <c r="K142" s="84"/>
    </row>
  </sheetData>
  <mergeCells count="51">
    <mergeCell ref="B1:K1"/>
    <mergeCell ref="B15:J15"/>
    <mergeCell ref="J2:K2"/>
    <mergeCell ref="B3:J3"/>
    <mergeCell ref="B5:J5"/>
    <mergeCell ref="B6:J6"/>
    <mergeCell ref="B8:J8"/>
    <mergeCell ref="B10:J10"/>
    <mergeCell ref="B11:J11"/>
    <mergeCell ref="B12:J12"/>
    <mergeCell ref="B13:J13"/>
    <mergeCell ref="B14:J14"/>
    <mergeCell ref="B19:J19"/>
    <mergeCell ref="B20:J20"/>
    <mergeCell ref="B21:J21"/>
    <mergeCell ref="B22:J22"/>
    <mergeCell ref="B17:J17"/>
    <mergeCell ref="B30:J30"/>
    <mergeCell ref="B23:J23"/>
    <mergeCell ref="B25:J25"/>
    <mergeCell ref="B27:J27"/>
    <mergeCell ref="B28:J28"/>
    <mergeCell ref="B29:J29"/>
    <mergeCell ref="B40:J40"/>
    <mergeCell ref="B38:J38"/>
    <mergeCell ref="B31:J31"/>
    <mergeCell ref="B33:J33"/>
    <mergeCell ref="B34:J34"/>
    <mergeCell ref="B35:J35"/>
    <mergeCell ref="B36:J36"/>
    <mergeCell ref="B37:J37"/>
    <mergeCell ref="B32:J32"/>
    <mergeCell ref="B49:J49"/>
    <mergeCell ref="B42:J42"/>
    <mergeCell ref="B44:J44"/>
    <mergeCell ref="B45:J45"/>
    <mergeCell ref="B46:J46"/>
    <mergeCell ref="B47:J47"/>
    <mergeCell ref="B43:J43"/>
    <mergeCell ref="B59:J59"/>
    <mergeCell ref="B60:J60"/>
    <mergeCell ref="B62:J62"/>
    <mergeCell ref="B66:J66"/>
    <mergeCell ref="B51:J51"/>
    <mergeCell ref="B52:J52"/>
    <mergeCell ref="B64:J64"/>
    <mergeCell ref="B65:J65"/>
    <mergeCell ref="B53:J53"/>
    <mergeCell ref="B54:J54"/>
    <mergeCell ref="B56:J56"/>
    <mergeCell ref="B58:J58"/>
  </mergeCells>
  <hyperlinks>
    <hyperlink ref="K15" location="'8 psl.'!A1" display="'8 psl.'!A1"/>
    <hyperlink ref="K14" location="'7 psl.'!A1" display="'7 psl.'!A1"/>
    <hyperlink ref="K12" location="'6 psl.'!A1" display="'6 psl.'!A1"/>
    <hyperlink ref="K5" location="'3 psl.'!A1" display="'3 psl.'!A1"/>
    <hyperlink ref="K6" location="'4 psl.'!A1" display="'4 psl.'!A1"/>
    <hyperlink ref="K10" location="'5 psl.'!A1" display="'5 psl.'!A1"/>
    <hyperlink ref="K11" location="'5 psl.'!A1" display="'5 psl.'!A1"/>
    <hyperlink ref="K19" location="'9 psl.'!A1" display="'9 psl.'!A1"/>
    <hyperlink ref="K20" location="'10 psl.'!A1" display="'10 psl.'!A1"/>
    <hyperlink ref="K21" location="'11 psl.'!A1" display="'11 psl.'!A1"/>
    <hyperlink ref="K22" location="'12 psl.'!A1" display="'12 psl.'!A1"/>
    <hyperlink ref="K23" location="'13 psl.'!A1" display="'13 psl.'!A1"/>
    <hyperlink ref="K27" location="'14 psl.'!A1" display="'14 psl.'!A1"/>
    <hyperlink ref="K28" location="'15 psl.'!A1" display="'15 psl.'!A1"/>
    <hyperlink ref="K29" location="'16 psl.'!A1" display="'16 psl.'!A1"/>
    <hyperlink ref="K30" location="'17 psl.'!A1" display="'17 psl.'!A1"/>
    <hyperlink ref="K31" location="'18 psl.'!A1" display="'18 psl.'!A1"/>
    <hyperlink ref="K33" location="'20 psl.'!A1" display="'20 psl.'!A1"/>
    <hyperlink ref="K34" location="'21 psl.'!A1" display="'21 psl.'!A1"/>
    <hyperlink ref="K35" location="'22 psl.'!A1" display="'22 psl.'!A1"/>
    <hyperlink ref="K36" location="'23 psl.'!A1" display="'23 psl.'!A1"/>
    <hyperlink ref="K37" location="'24 psl.'!A1" display="'24 psl.'!A1"/>
    <hyperlink ref="K38" location="'25 psl.'!A1" display="'25 psl.'!A1"/>
    <hyperlink ref="K44" location="'28 psl.'!A1" display="'28 psl.'!A1"/>
    <hyperlink ref="K43" location="'27 psl.'!A1" display="'27 psl.'!A1"/>
    <hyperlink ref="K42" location="'26 psl.'!A1" display="'26 psl.'!A1"/>
    <hyperlink ref="K45" location="'29 psl.'!A1" display="'29 psl.'!A1"/>
    <hyperlink ref="K46" location="'30 psl.'!A1" display="'30 psl.'!A1"/>
    <hyperlink ref="K47" location="'31 psl.'!A1" display="'31 psl.'!A1"/>
    <hyperlink ref="K13" location="'6 psl.'!A1" display="'6 psl.'!A1"/>
    <hyperlink ref="K32" location="'19 psl.'!A1" display="'19 psl.'!A1"/>
    <hyperlink ref="K51" location="'32 psl.'!A1" display="'32 psl.'!A1"/>
    <hyperlink ref="K52" location="'33 psl.'!A1" display="'33 psl.'!A1"/>
    <hyperlink ref="K53" location="'34 psl.'!A1" display="'34 psl.'!A1"/>
    <hyperlink ref="K54" location="'35 psl.'!A1" display="'35 psl.'!A1"/>
    <hyperlink ref="K58" location="'36 psl.'!A1" display="'36 psl.'!A1"/>
    <hyperlink ref="K59" location="'37 psl.'!A1" display="'37 psl.'!A1"/>
    <hyperlink ref="K60" location="'38 psl.'!A1" display="'38 psl.'!A1"/>
    <hyperlink ref="K66" location="'41 psl.'!A1" display="'41 psl.'!A1"/>
    <hyperlink ref="K65" location="'40 psl.'!A1" display="'40 psl.'!A1"/>
    <hyperlink ref="K64" location="'39 psl.'!A1" display="'39 psl.'!A1"/>
  </hyperlinks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K115"/>
  <sheetViews>
    <sheetView zoomScaleNormal="100" workbookViewId="0">
      <selection activeCell="F4" sqref="F4"/>
    </sheetView>
  </sheetViews>
  <sheetFormatPr defaultRowHeight="12.75"/>
  <cols>
    <col min="1" max="1" width="7" style="535" customWidth="1"/>
    <col min="2" max="2" width="37.5703125" style="526" customWidth="1"/>
    <col min="3" max="3" width="15.7109375" style="541" customWidth="1"/>
    <col min="4" max="4" width="16.7109375" style="544" customWidth="1"/>
    <col min="5" max="5" width="13.140625" style="541" customWidth="1"/>
    <col min="6" max="6" width="13.5703125" style="526" customWidth="1"/>
    <col min="7" max="256" width="9.140625" style="526"/>
    <col min="257" max="257" width="4" style="526" customWidth="1"/>
    <col min="258" max="258" width="37.5703125" style="526" customWidth="1"/>
    <col min="259" max="259" width="15.7109375" style="526" customWidth="1"/>
    <col min="260" max="260" width="16.7109375" style="526" customWidth="1"/>
    <col min="261" max="261" width="11.5703125" style="526" customWidth="1"/>
    <col min="262" max="262" width="13.5703125" style="526" customWidth="1"/>
    <col min="263" max="512" width="9.140625" style="526"/>
    <col min="513" max="513" width="4" style="526" customWidth="1"/>
    <col min="514" max="514" width="37.5703125" style="526" customWidth="1"/>
    <col min="515" max="515" width="15.7109375" style="526" customWidth="1"/>
    <col min="516" max="516" width="16.7109375" style="526" customWidth="1"/>
    <col min="517" max="517" width="11.5703125" style="526" customWidth="1"/>
    <col min="518" max="518" width="13.5703125" style="526" customWidth="1"/>
    <col min="519" max="768" width="9.140625" style="526"/>
    <col min="769" max="769" width="4" style="526" customWidth="1"/>
    <col min="770" max="770" width="37.5703125" style="526" customWidth="1"/>
    <col min="771" max="771" width="15.7109375" style="526" customWidth="1"/>
    <col min="772" max="772" width="16.7109375" style="526" customWidth="1"/>
    <col min="773" max="773" width="11.5703125" style="526" customWidth="1"/>
    <col min="774" max="774" width="13.5703125" style="526" customWidth="1"/>
    <col min="775" max="1024" width="9.140625" style="526"/>
    <col min="1025" max="1025" width="4" style="526" customWidth="1"/>
    <col min="1026" max="1026" width="37.5703125" style="526" customWidth="1"/>
    <col min="1027" max="1027" width="15.7109375" style="526" customWidth="1"/>
    <col min="1028" max="1028" width="16.7109375" style="526" customWidth="1"/>
    <col min="1029" max="1029" width="11.5703125" style="526" customWidth="1"/>
    <col min="1030" max="1030" width="13.5703125" style="526" customWidth="1"/>
    <col min="1031" max="1280" width="9.140625" style="526"/>
    <col min="1281" max="1281" width="4" style="526" customWidth="1"/>
    <col min="1282" max="1282" width="37.5703125" style="526" customWidth="1"/>
    <col min="1283" max="1283" width="15.7109375" style="526" customWidth="1"/>
    <col min="1284" max="1284" width="16.7109375" style="526" customWidth="1"/>
    <col min="1285" max="1285" width="11.5703125" style="526" customWidth="1"/>
    <col min="1286" max="1286" width="13.5703125" style="526" customWidth="1"/>
    <col min="1287" max="1536" width="9.140625" style="526"/>
    <col min="1537" max="1537" width="4" style="526" customWidth="1"/>
    <col min="1538" max="1538" width="37.5703125" style="526" customWidth="1"/>
    <col min="1539" max="1539" width="15.7109375" style="526" customWidth="1"/>
    <col min="1540" max="1540" width="16.7109375" style="526" customWidth="1"/>
    <col min="1541" max="1541" width="11.5703125" style="526" customWidth="1"/>
    <col min="1542" max="1542" width="13.5703125" style="526" customWidth="1"/>
    <col min="1543" max="1792" width="9.140625" style="526"/>
    <col min="1793" max="1793" width="4" style="526" customWidth="1"/>
    <col min="1794" max="1794" width="37.5703125" style="526" customWidth="1"/>
    <col min="1795" max="1795" width="15.7109375" style="526" customWidth="1"/>
    <col min="1796" max="1796" width="16.7109375" style="526" customWidth="1"/>
    <col min="1797" max="1797" width="11.5703125" style="526" customWidth="1"/>
    <col min="1798" max="1798" width="13.5703125" style="526" customWidth="1"/>
    <col min="1799" max="2048" width="9.140625" style="526"/>
    <col min="2049" max="2049" width="4" style="526" customWidth="1"/>
    <col min="2050" max="2050" width="37.5703125" style="526" customWidth="1"/>
    <col min="2051" max="2051" width="15.7109375" style="526" customWidth="1"/>
    <col min="2052" max="2052" width="16.7109375" style="526" customWidth="1"/>
    <col min="2053" max="2053" width="11.5703125" style="526" customWidth="1"/>
    <col min="2054" max="2054" width="13.5703125" style="526" customWidth="1"/>
    <col min="2055" max="2304" width="9.140625" style="526"/>
    <col min="2305" max="2305" width="4" style="526" customWidth="1"/>
    <col min="2306" max="2306" width="37.5703125" style="526" customWidth="1"/>
    <col min="2307" max="2307" width="15.7109375" style="526" customWidth="1"/>
    <col min="2308" max="2308" width="16.7109375" style="526" customWidth="1"/>
    <col min="2309" max="2309" width="11.5703125" style="526" customWidth="1"/>
    <col min="2310" max="2310" width="13.5703125" style="526" customWidth="1"/>
    <col min="2311" max="2560" width="9.140625" style="526"/>
    <col min="2561" max="2561" width="4" style="526" customWidth="1"/>
    <col min="2562" max="2562" width="37.5703125" style="526" customWidth="1"/>
    <col min="2563" max="2563" width="15.7109375" style="526" customWidth="1"/>
    <col min="2564" max="2564" width="16.7109375" style="526" customWidth="1"/>
    <col min="2565" max="2565" width="11.5703125" style="526" customWidth="1"/>
    <col min="2566" max="2566" width="13.5703125" style="526" customWidth="1"/>
    <col min="2567" max="2816" width="9.140625" style="526"/>
    <col min="2817" max="2817" width="4" style="526" customWidth="1"/>
    <col min="2818" max="2818" width="37.5703125" style="526" customWidth="1"/>
    <col min="2819" max="2819" width="15.7109375" style="526" customWidth="1"/>
    <col min="2820" max="2820" width="16.7109375" style="526" customWidth="1"/>
    <col min="2821" max="2821" width="11.5703125" style="526" customWidth="1"/>
    <col min="2822" max="2822" width="13.5703125" style="526" customWidth="1"/>
    <col min="2823" max="3072" width="9.140625" style="526"/>
    <col min="3073" max="3073" width="4" style="526" customWidth="1"/>
    <col min="3074" max="3074" width="37.5703125" style="526" customWidth="1"/>
    <col min="3075" max="3075" width="15.7109375" style="526" customWidth="1"/>
    <col min="3076" max="3076" width="16.7109375" style="526" customWidth="1"/>
    <col min="3077" max="3077" width="11.5703125" style="526" customWidth="1"/>
    <col min="3078" max="3078" width="13.5703125" style="526" customWidth="1"/>
    <col min="3079" max="3328" width="9.140625" style="526"/>
    <col min="3329" max="3329" width="4" style="526" customWidth="1"/>
    <col min="3330" max="3330" width="37.5703125" style="526" customWidth="1"/>
    <col min="3331" max="3331" width="15.7109375" style="526" customWidth="1"/>
    <col min="3332" max="3332" width="16.7109375" style="526" customWidth="1"/>
    <col min="3333" max="3333" width="11.5703125" style="526" customWidth="1"/>
    <col min="3334" max="3334" width="13.5703125" style="526" customWidth="1"/>
    <col min="3335" max="3584" width="9.140625" style="526"/>
    <col min="3585" max="3585" width="4" style="526" customWidth="1"/>
    <col min="3586" max="3586" width="37.5703125" style="526" customWidth="1"/>
    <col min="3587" max="3587" width="15.7109375" style="526" customWidth="1"/>
    <col min="3588" max="3588" width="16.7109375" style="526" customWidth="1"/>
    <col min="3589" max="3589" width="11.5703125" style="526" customWidth="1"/>
    <col min="3590" max="3590" width="13.5703125" style="526" customWidth="1"/>
    <col min="3591" max="3840" width="9.140625" style="526"/>
    <col min="3841" max="3841" width="4" style="526" customWidth="1"/>
    <col min="3842" max="3842" width="37.5703125" style="526" customWidth="1"/>
    <col min="3843" max="3843" width="15.7109375" style="526" customWidth="1"/>
    <col min="3844" max="3844" width="16.7109375" style="526" customWidth="1"/>
    <col min="3845" max="3845" width="11.5703125" style="526" customWidth="1"/>
    <col min="3846" max="3846" width="13.5703125" style="526" customWidth="1"/>
    <col min="3847" max="4096" width="9.140625" style="526"/>
    <col min="4097" max="4097" width="4" style="526" customWidth="1"/>
    <col min="4098" max="4098" width="37.5703125" style="526" customWidth="1"/>
    <col min="4099" max="4099" width="15.7109375" style="526" customWidth="1"/>
    <col min="4100" max="4100" width="16.7109375" style="526" customWidth="1"/>
    <col min="4101" max="4101" width="11.5703125" style="526" customWidth="1"/>
    <col min="4102" max="4102" width="13.5703125" style="526" customWidth="1"/>
    <col min="4103" max="4352" width="9.140625" style="526"/>
    <col min="4353" max="4353" width="4" style="526" customWidth="1"/>
    <col min="4354" max="4354" width="37.5703125" style="526" customWidth="1"/>
    <col min="4355" max="4355" width="15.7109375" style="526" customWidth="1"/>
    <col min="4356" max="4356" width="16.7109375" style="526" customWidth="1"/>
    <col min="4357" max="4357" width="11.5703125" style="526" customWidth="1"/>
    <col min="4358" max="4358" width="13.5703125" style="526" customWidth="1"/>
    <col min="4359" max="4608" width="9.140625" style="526"/>
    <col min="4609" max="4609" width="4" style="526" customWidth="1"/>
    <col min="4610" max="4610" width="37.5703125" style="526" customWidth="1"/>
    <col min="4611" max="4611" width="15.7109375" style="526" customWidth="1"/>
    <col min="4612" max="4612" width="16.7109375" style="526" customWidth="1"/>
    <col min="4613" max="4613" width="11.5703125" style="526" customWidth="1"/>
    <col min="4614" max="4614" width="13.5703125" style="526" customWidth="1"/>
    <col min="4615" max="4864" width="9.140625" style="526"/>
    <col min="4865" max="4865" width="4" style="526" customWidth="1"/>
    <col min="4866" max="4866" width="37.5703125" style="526" customWidth="1"/>
    <col min="4867" max="4867" width="15.7109375" style="526" customWidth="1"/>
    <col min="4868" max="4868" width="16.7109375" style="526" customWidth="1"/>
    <col min="4869" max="4869" width="11.5703125" style="526" customWidth="1"/>
    <col min="4870" max="4870" width="13.5703125" style="526" customWidth="1"/>
    <col min="4871" max="5120" width="9.140625" style="526"/>
    <col min="5121" max="5121" width="4" style="526" customWidth="1"/>
    <col min="5122" max="5122" width="37.5703125" style="526" customWidth="1"/>
    <col min="5123" max="5123" width="15.7109375" style="526" customWidth="1"/>
    <col min="5124" max="5124" width="16.7109375" style="526" customWidth="1"/>
    <col min="5125" max="5125" width="11.5703125" style="526" customWidth="1"/>
    <col min="5126" max="5126" width="13.5703125" style="526" customWidth="1"/>
    <col min="5127" max="5376" width="9.140625" style="526"/>
    <col min="5377" max="5377" width="4" style="526" customWidth="1"/>
    <col min="5378" max="5378" width="37.5703125" style="526" customWidth="1"/>
    <col min="5379" max="5379" width="15.7109375" style="526" customWidth="1"/>
    <col min="5380" max="5380" width="16.7109375" style="526" customWidth="1"/>
    <col min="5381" max="5381" width="11.5703125" style="526" customWidth="1"/>
    <col min="5382" max="5382" width="13.5703125" style="526" customWidth="1"/>
    <col min="5383" max="5632" width="9.140625" style="526"/>
    <col min="5633" max="5633" width="4" style="526" customWidth="1"/>
    <col min="5634" max="5634" width="37.5703125" style="526" customWidth="1"/>
    <col min="5635" max="5635" width="15.7109375" style="526" customWidth="1"/>
    <col min="5636" max="5636" width="16.7109375" style="526" customWidth="1"/>
    <col min="5637" max="5637" width="11.5703125" style="526" customWidth="1"/>
    <col min="5638" max="5638" width="13.5703125" style="526" customWidth="1"/>
    <col min="5639" max="5888" width="9.140625" style="526"/>
    <col min="5889" max="5889" width="4" style="526" customWidth="1"/>
    <col min="5890" max="5890" width="37.5703125" style="526" customWidth="1"/>
    <col min="5891" max="5891" width="15.7109375" style="526" customWidth="1"/>
    <col min="5892" max="5892" width="16.7109375" style="526" customWidth="1"/>
    <col min="5893" max="5893" width="11.5703125" style="526" customWidth="1"/>
    <col min="5894" max="5894" width="13.5703125" style="526" customWidth="1"/>
    <col min="5895" max="6144" width="9.140625" style="526"/>
    <col min="6145" max="6145" width="4" style="526" customWidth="1"/>
    <col min="6146" max="6146" width="37.5703125" style="526" customWidth="1"/>
    <col min="6147" max="6147" width="15.7109375" style="526" customWidth="1"/>
    <col min="6148" max="6148" width="16.7109375" style="526" customWidth="1"/>
    <col min="6149" max="6149" width="11.5703125" style="526" customWidth="1"/>
    <col min="6150" max="6150" width="13.5703125" style="526" customWidth="1"/>
    <col min="6151" max="6400" width="9.140625" style="526"/>
    <col min="6401" max="6401" width="4" style="526" customWidth="1"/>
    <col min="6402" max="6402" width="37.5703125" style="526" customWidth="1"/>
    <col min="6403" max="6403" width="15.7109375" style="526" customWidth="1"/>
    <col min="6404" max="6404" width="16.7109375" style="526" customWidth="1"/>
    <col min="6405" max="6405" width="11.5703125" style="526" customWidth="1"/>
    <col min="6406" max="6406" width="13.5703125" style="526" customWidth="1"/>
    <col min="6407" max="6656" width="9.140625" style="526"/>
    <col min="6657" max="6657" width="4" style="526" customWidth="1"/>
    <col min="6658" max="6658" width="37.5703125" style="526" customWidth="1"/>
    <col min="6659" max="6659" width="15.7109375" style="526" customWidth="1"/>
    <col min="6660" max="6660" width="16.7109375" style="526" customWidth="1"/>
    <col min="6661" max="6661" width="11.5703125" style="526" customWidth="1"/>
    <col min="6662" max="6662" width="13.5703125" style="526" customWidth="1"/>
    <col min="6663" max="6912" width="9.140625" style="526"/>
    <col min="6913" max="6913" width="4" style="526" customWidth="1"/>
    <col min="6914" max="6914" width="37.5703125" style="526" customWidth="1"/>
    <col min="6915" max="6915" width="15.7109375" style="526" customWidth="1"/>
    <col min="6916" max="6916" width="16.7109375" style="526" customWidth="1"/>
    <col min="6917" max="6917" width="11.5703125" style="526" customWidth="1"/>
    <col min="6918" max="6918" width="13.5703125" style="526" customWidth="1"/>
    <col min="6919" max="7168" width="9.140625" style="526"/>
    <col min="7169" max="7169" width="4" style="526" customWidth="1"/>
    <col min="7170" max="7170" width="37.5703125" style="526" customWidth="1"/>
    <col min="7171" max="7171" width="15.7109375" style="526" customWidth="1"/>
    <col min="7172" max="7172" width="16.7109375" style="526" customWidth="1"/>
    <col min="7173" max="7173" width="11.5703125" style="526" customWidth="1"/>
    <col min="7174" max="7174" width="13.5703125" style="526" customWidth="1"/>
    <col min="7175" max="7424" width="9.140625" style="526"/>
    <col min="7425" max="7425" width="4" style="526" customWidth="1"/>
    <col min="7426" max="7426" width="37.5703125" style="526" customWidth="1"/>
    <col min="7427" max="7427" width="15.7109375" style="526" customWidth="1"/>
    <col min="7428" max="7428" width="16.7109375" style="526" customWidth="1"/>
    <col min="7429" max="7429" width="11.5703125" style="526" customWidth="1"/>
    <col min="7430" max="7430" width="13.5703125" style="526" customWidth="1"/>
    <col min="7431" max="7680" width="9.140625" style="526"/>
    <col min="7681" max="7681" width="4" style="526" customWidth="1"/>
    <col min="7682" max="7682" width="37.5703125" style="526" customWidth="1"/>
    <col min="7683" max="7683" width="15.7109375" style="526" customWidth="1"/>
    <col min="7684" max="7684" width="16.7109375" style="526" customWidth="1"/>
    <col min="7685" max="7685" width="11.5703125" style="526" customWidth="1"/>
    <col min="7686" max="7686" width="13.5703125" style="526" customWidth="1"/>
    <col min="7687" max="7936" width="9.140625" style="526"/>
    <col min="7937" max="7937" width="4" style="526" customWidth="1"/>
    <col min="7938" max="7938" width="37.5703125" style="526" customWidth="1"/>
    <col min="7939" max="7939" width="15.7109375" style="526" customWidth="1"/>
    <col min="7940" max="7940" width="16.7109375" style="526" customWidth="1"/>
    <col min="7941" max="7941" width="11.5703125" style="526" customWidth="1"/>
    <col min="7942" max="7942" width="13.5703125" style="526" customWidth="1"/>
    <col min="7943" max="8192" width="9.140625" style="526"/>
    <col min="8193" max="8193" width="4" style="526" customWidth="1"/>
    <col min="8194" max="8194" width="37.5703125" style="526" customWidth="1"/>
    <col min="8195" max="8195" width="15.7109375" style="526" customWidth="1"/>
    <col min="8196" max="8196" width="16.7109375" style="526" customWidth="1"/>
    <col min="8197" max="8197" width="11.5703125" style="526" customWidth="1"/>
    <col min="8198" max="8198" width="13.5703125" style="526" customWidth="1"/>
    <col min="8199" max="8448" width="9.140625" style="526"/>
    <col min="8449" max="8449" width="4" style="526" customWidth="1"/>
    <col min="8450" max="8450" width="37.5703125" style="526" customWidth="1"/>
    <col min="8451" max="8451" width="15.7109375" style="526" customWidth="1"/>
    <col min="8452" max="8452" width="16.7109375" style="526" customWidth="1"/>
    <col min="8453" max="8453" width="11.5703125" style="526" customWidth="1"/>
    <col min="8454" max="8454" width="13.5703125" style="526" customWidth="1"/>
    <col min="8455" max="8704" width="9.140625" style="526"/>
    <col min="8705" max="8705" width="4" style="526" customWidth="1"/>
    <col min="8706" max="8706" width="37.5703125" style="526" customWidth="1"/>
    <col min="8707" max="8707" width="15.7109375" style="526" customWidth="1"/>
    <col min="8708" max="8708" width="16.7109375" style="526" customWidth="1"/>
    <col min="8709" max="8709" width="11.5703125" style="526" customWidth="1"/>
    <col min="8710" max="8710" width="13.5703125" style="526" customWidth="1"/>
    <col min="8711" max="8960" width="9.140625" style="526"/>
    <col min="8961" max="8961" width="4" style="526" customWidth="1"/>
    <col min="8962" max="8962" width="37.5703125" style="526" customWidth="1"/>
    <col min="8963" max="8963" width="15.7109375" style="526" customWidth="1"/>
    <col min="8964" max="8964" width="16.7109375" style="526" customWidth="1"/>
    <col min="8965" max="8965" width="11.5703125" style="526" customWidth="1"/>
    <col min="8966" max="8966" width="13.5703125" style="526" customWidth="1"/>
    <col min="8967" max="9216" width="9.140625" style="526"/>
    <col min="9217" max="9217" width="4" style="526" customWidth="1"/>
    <col min="9218" max="9218" width="37.5703125" style="526" customWidth="1"/>
    <col min="9219" max="9219" width="15.7109375" style="526" customWidth="1"/>
    <col min="9220" max="9220" width="16.7109375" style="526" customWidth="1"/>
    <col min="9221" max="9221" width="11.5703125" style="526" customWidth="1"/>
    <col min="9222" max="9222" width="13.5703125" style="526" customWidth="1"/>
    <col min="9223" max="9472" width="9.140625" style="526"/>
    <col min="9473" max="9473" width="4" style="526" customWidth="1"/>
    <col min="9474" max="9474" width="37.5703125" style="526" customWidth="1"/>
    <col min="9475" max="9475" width="15.7109375" style="526" customWidth="1"/>
    <col min="9476" max="9476" width="16.7109375" style="526" customWidth="1"/>
    <col min="9477" max="9477" width="11.5703125" style="526" customWidth="1"/>
    <col min="9478" max="9478" width="13.5703125" style="526" customWidth="1"/>
    <col min="9479" max="9728" width="9.140625" style="526"/>
    <col min="9729" max="9729" width="4" style="526" customWidth="1"/>
    <col min="9730" max="9730" width="37.5703125" style="526" customWidth="1"/>
    <col min="9731" max="9731" width="15.7109375" style="526" customWidth="1"/>
    <col min="9732" max="9732" width="16.7109375" style="526" customWidth="1"/>
    <col min="9733" max="9733" width="11.5703125" style="526" customWidth="1"/>
    <col min="9734" max="9734" width="13.5703125" style="526" customWidth="1"/>
    <col min="9735" max="9984" width="9.140625" style="526"/>
    <col min="9985" max="9985" width="4" style="526" customWidth="1"/>
    <col min="9986" max="9986" width="37.5703125" style="526" customWidth="1"/>
    <col min="9987" max="9987" width="15.7109375" style="526" customWidth="1"/>
    <col min="9988" max="9988" width="16.7109375" style="526" customWidth="1"/>
    <col min="9989" max="9989" width="11.5703125" style="526" customWidth="1"/>
    <col min="9990" max="9990" width="13.5703125" style="526" customWidth="1"/>
    <col min="9991" max="10240" width="9.140625" style="526"/>
    <col min="10241" max="10241" width="4" style="526" customWidth="1"/>
    <col min="10242" max="10242" width="37.5703125" style="526" customWidth="1"/>
    <col min="10243" max="10243" width="15.7109375" style="526" customWidth="1"/>
    <col min="10244" max="10244" width="16.7109375" style="526" customWidth="1"/>
    <col min="10245" max="10245" width="11.5703125" style="526" customWidth="1"/>
    <col min="10246" max="10246" width="13.5703125" style="526" customWidth="1"/>
    <col min="10247" max="10496" width="9.140625" style="526"/>
    <col min="10497" max="10497" width="4" style="526" customWidth="1"/>
    <col min="10498" max="10498" width="37.5703125" style="526" customWidth="1"/>
    <col min="10499" max="10499" width="15.7109375" style="526" customWidth="1"/>
    <col min="10500" max="10500" width="16.7109375" style="526" customWidth="1"/>
    <col min="10501" max="10501" width="11.5703125" style="526" customWidth="1"/>
    <col min="10502" max="10502" width="13.5703125" style="526" customWidth="1"/>
    <col min="10503" max="10752" width="9.140625" style="526"/>
    <col min="10753" max="10753" width="4" style="526" customWidth="1"/>
    <col min="10754" max="10754" width="37.5703125" style="526" customWidth="1"/>
    <col min="10755" max="10755" width="15.7109375" style="526" customWidth="1"/>
    <col min="10756" max="10756" width="16.7109375" style="526" customWidth="1"/>
    <col min="10757" max="10757" width="11.5703125" style="526" customWidth="1"/>
    <col min="10758" max="10758" width="13.5703125" style="526" customWidth="1"/>
    <col min="10759" max="11008" width="9.140625" style="526"/>
    <col min="11009" max="11009" width="4" style="526" customWidth="1"/>
    <col min="11010" max="11010" width="37.5703125" style="526" customWidth="1"/>
    <col min="11011" max="11011" width="15.7109375" style="526" customWidth="1"/>
    <col min="11012" max="11012" width="16.7109375" style="526" customWidth="1"/>
    <col min="11013" max="11013" width="11.5703125" style="526" customWidth="1"/>
    <col min="11014" max="11014" width="13.5703125" style="526" customWidth="1"/>
    <col min="11015" max="11264" width="9.140625" style="526"/>
    <col min="11265" max="11265" width="4" style="526" customWidth="1"/>
    <col min="11266" max="11266" width="37.5703125" style="526" customWidth="1"/>
    <col min="11267" max="11267" width="15.7109375" style="526" customWidth="1"/>
    <col min="11268" max="11268" width="16.7109375" style="526" customWidth="1"/>
    <col min="11269" max="11269" width="11.5703125" style="526" customWidth="1"/>
    <col min="11270" max="11270" width="13.5703125" style="526" customWidth="1"/>
    <col min="11271" max="11520" width="9.140625" style="526"/>
    <col min="11521" max="11521" width="4" style="526" customWidth="1"/>
    <col min="11522" max="11522" width="37.5703125" style="526" customWidth="1"/>
    <col min="11523" max="11523" width="15.7109375" style="526" customWidth="1"/>
    <col min="11524" max="11524" width="16.7109375" style="526" customWidth="1"/>
    <col min="11525" max="11525" width="11.5703125" style="526" customWidth="1"/>
    <col min="11526" max="11526" width="13.5703125" style="526" customWidth="1"/>
    <col min="11527" max="11776" width="9.140625" style="526"/>
    <col min="11777" max="11777" width="4" style="526" customWidth="1"/>
    <col min="11778" max="11778" width="37.5703125" style="526" customWidth="1"/>
    <col min="11779" max="11779" width="15.7109375" style="526" customWidth="1"/>
    <col min="11780" max="11780" width="16.7109375" style="526" customWidth="1"/>
    <col min="11781" max="11781" width="11.5703125" style="526" customWidth="1"/>
    <col min="11782" max="11782" width="13.5703125" style="526" customWidth="1"/>
    <col min="11783" max="12032" width="9.140625" style="526"/>
    <col min="12033" max="12033" width="4" style="526" customWidth="1"/>
    <col min="12034" max="12034" width="37.5703125" style="526" customWidth="1"/>
    <col min="12035" max="12035" width="15.7109375" style="526" customWidth="1"/>
    <col min="12036" max="12036" width="16.7109375" style="526" customWidth="1"/>
    <col min="12037" max="12037" width="11.5703125" style="526" customWidth="1"/>
    <col min="12038" max="12038" width="13.5703125" style="526" customWidth="1"/>
    <col min="12039" max="12288" width="9.140625" style="526"/>
    <col min="12289" max="12289" width="4" style="526" customWidth="1"/>
    <col min="12290" max="12290" width="37.5703125" style="526" customWidth="1"/>
    <col min="12291" max="12291" width="15.7109375" style="526" customWidth="1"/>
    <col min="12292" max="12292" width="16.7109375" style="526" customWidth="1"/>
    <col min="12293" max="12293" width="11.5703125" style="526" customWidth="1"/>
    <col min="12294" max="12294" width="13.5703125" style="526" customWidth="1"/>
    <col min="12295" max="12544" width="9.140625" style="526"/>
    <col min="12545" max="12545" width="4" style="526" customWidth="1"/>
    <col min="12546" max="12546" width="37.5703125" style="526" customWidth="1"/>
    <col min="12547" max="12547" width="15.7109375" style="526" customWidth="1"/>
    <col min="12548" max="12548" width="16.7109375" style="526" customWidth="1"/>
    <col min="12549" max="12549" width="11.5703125" style="526" customWidth="1"/>
    <col min="12550" max="12550" width="13.5703125" style="526" customWidth="1"/>
    <col min="12551" max="12800" width="9.140625" style="526"/>
    <col min="12801" max="12801" width="4" style="526" customWidth="1"/>
    <col min="12802" max="12802" width="37.5703125" style="526" customWidth="1"/>
    <col min="12803" max="12803" width="15.7109375" style="526" customWidth="1"/>
    <col min="12804" max="12804" width="16.7109375" style="526" customWidth="1"/>
    <col min="12805" max="12805" width="11.5703125" style="526" customWidth="1"/>
    <col min="12806" max="12806" width="13.5703125" style="526" customWidth="1"/>
    <col min="12807" max="13056" width="9.140625" style="526"/>
    <col min="13057" max="13057" width="4" style="526" customWidth="1"/>
    <col min="13058" max="13058" width="37.5703125" style="526" customWidth="1"/>
    <col min="13059" max="13059" width="15.7109375" style="526" customWidth="1"/>
    <col min="13060" max="13060" width="16.7109375" style="526" customWidth="1"/>
    <col min="13061" max="13061" width="11.5703125" style="526" customWidth="1"/>
    <col min="13062" max="13062" width="13.5703125" style="526" customWidth="1"/>
    <col min="13063" max="13312" width="9.140625" style="526"/>
    <col min="13313" max="13313" width="4" style="526" customWidth="1"/>
    <col min="13314" max="13314" width="37.5703125" style="526" customWidth="1"/>
    <col min="13315" max="13315" width="15.7109375" style="526" customWidth="1"/>
    <col min="13316" max="13316" width="16.7109375" style="526" customWidth="1"/>
    <col min="13317" max="13317" width="11.5703125" style="526" customWidth="1"/>
    <col min="13318" max="13318" width="13.5703125" style="526" customWidth="1"/>
    <col min="13319" max="13568" width="9.140625" style="526"/>
    <col min="13569" max="13569" width="4" style="526" customWidth="1"/>
    <col min="13570" max="13570" width="37.5703125" style="526" customWidth="1"/>
    <col min="13571" max="13571" width="15.7109375" style="526" customWidth="1"/>
    <col min="13572" max="13572" width="16.7109375" style="526" customWidth="1"/>
    <col min="13573" max="13573" width="11.5703125" style="526" customWidth="1"/>
    <col min="13574" max="13574" width="13.5703125" style="526" customWidth="1"/>
    <col min="13575" max="13824" width="9.140625" style="526"/>
    <col min="13825" max="13825" width="4" style="526" customWidth="1"/>
    <col min="13826" max="13826" width="37.5703125" style="526" customWidth="1"/>
    <col min="13827" max="13827" width="15.7109375" style="526" customWidth="1"/>
    <col min="13828" max="13828" width="16.7109375" style="526" customWidth="1"/>
    <col min="13829" max="13829" width="11.5703125" style="526" customWidth="1"/>
    <col min="13830" max="13830" width="13.5703125" style="526" customWidth="1"/>
    <col min="13831" max="14080" width="9.140625" style="526"/>
    <col min="14081" max="14081" width="4" style="526" customWidth="1"/>
    <col min="14082" max="14082" width="37.5703125" style="526" customWidth="1"/>
    <col min="14083" max="14083" width="15.7109375" style="526" customWidth="1"/>
    <col min="14084" max="14084" width="16.7109375" style="526" customWidth="1"/>
    <col min="14085" max="14085" width="11.5703125" style="526" customWidth="1"/>
    <col min="14086" max="14086" width="13.5703125" style="526" customWidth="1"/>
    <col min="14087" max="14336" width="9.140625" style="526"/>
    <col min="14337" max="14337" width="4" style="526" customWidth="1"/>
    <col min="14338" max="14338" width="37.5703125" style="526" customWidth="1"/>
    <col min="14339" max="14339" width="15.7109375" style="526" customWidth="1"/>
    <col min="14340" max="14340" width="16.7109375" style="526" customWidth="1"/>
    <col min="14341" max="14341" width="11.5703125" style="526" customWidth="1"/>
    <col min="14342" max="14342" width="13.5703125" style="526" customWidth="1"/>
    <col min="14343" max="14592" width="9.140625" style="526"/>
    <col min="14593" max="14593" width="4" style="526" customWidth="1"/>
    <col min="14594" max="14594" width="37.5703125" style="526" customWidth="1"/>
    <col min="14595" max="14595" width="15.7109375" style="526" customWidth="1"/>
    <col min="14596" max="14596" width="16.7109375" style="526" customWidth="1"/>
    <col min="14597" max="14597" width="11.5703125" style="526" customWidth="1"/>
    <col min="14598" max="14598" width="13.5703125" style="526" customWidth="1"/>
    <col min="14599" max="14848" width="9.140625" style="526"/>
    <col min="14849" max="14849" width="4" style="526" customWidth="1"/>
    <col min="14850" max="14850" width="37.5703125" style="526" customWidth="1"/>
    <col min="14851" max="14851" width="15.7109375" style="526" customWidth="1"/>
    <col min="14852" max="14852" width="16.7109375" style="526" customWidth="1"/>
    <col min="14853" max="14853" width="11.5703125" style="526" customWidth="1"/>
    <col min="14854" max="14854" width="13.5703125" style="526" customWidth="1"/>
    <col min="14855" max="15104" width="9.140625" style="526"/>
    <col min="15105" max="15105" width="4" style="526" customWidth="1"/>
    <col min="15106" max="15106" width="37.5703125" style="526" customWidth="1"/>
    <col min="15107" max="15107" width="15.7109375" style="526" customWidth="1"/>
    <col min="15108" max="15108" width="16.7109375" style="526" customWidth="1"/>
    <col min="15109" max="15109" width="11.5703125" style="526" customWidth="1"/>
    <col min="15110" max="15110" width="13.5703125" style="526" customWidth="1"/>
    <col min="15111" max="15360" width="9.140625" style="526"/>
    <col min="15361" max="15361" width="4" style="526" customWidth="1"/>
    <col min="15362" max="15362" width="37.5703125" style="526" customWidth="1"/>
    <col min="15363" max="15363" width="15.7109375" style="526" customWidth="1"/>
    <col min="15364" max="15364" width="16.7109375" style="526" customWidth="1"/>
    <col min="15365" max="15365" width="11.5703125" style="526" customWidth="1"/>
    <col min="15366" max="15366" width="13.5703125" style="526" customWidth="1"/>
    <col min="15367" max="15616" width="9.140625" style="526"/>
    <col min="15617" max="15617" width="4" style="526" customWidth="1"/>
    <col min="15618" max="15618" width="37.5703125" style="526" customWidth="1"/>
    <col min="15619" max="15619" width="15.7109375" style="526" customWidth="1"/>
    <col min="15620" max="15620" width="16.7109375" style="526" customWidth="1"/>
    <col min="15621" max="15621" width="11.5703125" style="526" customWidth="1"/>
    <col min="15622" max="15622" width="13.5703125" style="526" customWidth="1"/>
    <col min="15623" max="15872" width="9.140625" style="526"/>
    <col min="15873" max="15873" width="4" style="526" customWidth="1"/>
    <col min="15874" max="15874" width="37.5703125" style="526" customWidth="1"/>
    <col min="15875" max="15875" width="15.7109375" style="526" customWidth="1"/>
    <col min="15876" max="15876" width="16.7109375" style="526" customWidth="1"/>
    <col min="15877" max="15877" width="11.5703125" style="526" customWidth="1"/>
    <col min="15878" max="15878" width="13.5703125" style="526" customWidth="1"/>
    <col min="15879" max="16128" width="9.140625" style="526"/>
    <col min="16129" max="16129" width="4" style="526" customWidth="1"/>
    <col min="16130" max="16130" width="37.5703125" style="526" customWidth="1"/>
    <col min="16131" max="16131" width="15.7109375" style="526" customWidth="1"/>
    <col min="16132" max="16132" width="16.7109375" style="526" customWidth="1"/>
    <col min="16133" max="16133" width="11.5703125" style="526" customWidth="1"/>
    <col min="16134" max="16134" width="13.5703125" style="526" customWidth="1"/>
    <col min="16135" max="16384" width="9.140625" style="526"/>
  </cols>
  <sheetData>
    <row r="1" spans="1:11" s="524" customFormat="1" ht="15">
      <c r="A1" s="523" t="s">
        <v>225</v>
      </c>
      <c r="C1" s="525"/>
      <c r="D1" s="525"/>
    </row>
    <row r="3" spans="1:11" ht="40.5" customHeight="1">
      <c r="A3" s="677" t="s">
        <v>420</v>
      </c>
      <c r="B3" s="677"/>
      <c r="C3" s="677"/>
      <c r="D3" s="677"/>
      <c r="E3" s="677"/>
      <c r="F3" s="677"/>
    </row>
    <row r="4" spans="1:11" s="97" customFormat="1" ht="20.45" customHeight="1">
      <c r="A4" s="106"/>
      <c r="B4" s="101"/>
      <c r="C4" s="102"/>
      <c r="D4" s="102"/>
      <c r="E4" s="95"/>
      <c r="F4" s="96" t="s">
        <v>422</v>
      </c>
    </row>
    <row r="5" spans="1:11" s="98" customFormat="1" ht="37.15" customHeight="1">
      <c r="A5" s="105" t="s">
        <v>415</v>
      </c>
      <c r="B5" s="103" t="s">
        <v>416</v>
      </c>
      <c r="C5" s="110" t="s">
        <v>417</v>
      </c>
      <c r="D5" s="110" t="s">
        <v>418</v>
      </c>
      <c r="E5" s="110" t="s">
        <v>11</v>
      </c>
      <c r="F5" s="111" t="s">
        <v>421</v>
      </c>
    </row>
    <row r="6" spans="1:11" s="98" customFormat="1" ht="14.25">
      <c r="A6" s="545" t="s">
        <v>12</v>
      </c>
      <c r="B6" s="103" t="s">
        <v>13</v>
      </c>
      <c r="C6" s="112">
        <f>SUM(C7:C16)</f>
        <v>3239469.2889999994</v>
      </c>
      <c r="D6" s="112">
        <f>SUM(D7:D16)</f>
        <v>3285694.3220000002</v>
      </c>
      <c r="E6" s="107">
        <f>ROUND(D6/C6*100,1)</f>
        <v>101.4</v>
      </c>
      <c r="F6" s="112">
        <f>SUM(F7:F16)</f>
        <v>3059174.8108781278</v>
      </c>
    </row>
    <row r="7" spans="1:11" s="98" customFormat="1" ht="30">
      <c r="A7" s="546" t="s">
        <v>14</v>
      </c>
      <c r="B7" s="104" t="s">
        <v>15</v>
      </c>
      <c r="C7" s="114">
        <v>2779193.4169999999</v>
      </c>
      <c r="D7" s="114">
        <v>2779655.7889999999</v>
      </c>
      <c r="E7" s="113">
        <f>ROUND(D7/C7*100,1)</f>
        <v>100</v>
      </c>
      <c r="F7" s="115">
        <v>2582465.1757993512</v>
      </c>
    </row>
    <row r="8" spans="1:11" s="98" customFormat="1" ht="30">
      <c r="A8" s="546" t="s">
        <v>16</v>
      </c>
      <c r="B8" s="104" t="s">
        <v>17</v>
      </c>
      <c r="C8" s="114">
        <v>294458.61599999998</v>
      </c>
      <c r="D8" s="114">
        <v>294669.37</v>
      </c>
      <c r="E8" s="113">
        <f t="shared" ref="E8:E24" si="0">ROUND(D8/C8*100,1)</f>
        <v>100.1</v>
      </c>
      <c r="F8" s="115">
        <v>273770.12279888784</v>
      </c>
      <c r="G8" s="526"/>
      <c r="H8" s="526"/>
      <c r="I8" s="526"/>
      <c r="J8" s="526"/>
      <c r="K8" s="526"/>
    </row>
    <row r="9" spans="1:11" ht="28.5" customHeight="1">
      <c r="A9" s="546" t="s">
        <v>18</v>
      </c>
      <c r="B9" s="104" t="s">
        <v>19</v>
      </c>
      <c r="C9" s="114">
        <v>93138.766000000003</v>
      </c>
      <c r="D9" s="114">
        <v>75444.19</v>
      </c>
      <c r="E9" s="113">
        <f t="shared" si="0"/>
        <v>81</v>
      </c>
      <c r="F9" s="115">
        <v>58486.002374884156</v>
      </c>
      <c r="G9" s="527"/>
    </row>
    <row r="10" spans="1:11" ht="30" customHeight="1">
      <c r="A10" s="546" t="s">
        <v>20</v>
      </c>
      <c r="B10" s="104" t="s">
        <v>21</v>
      </c>
      <c r="C10" s="114">
        <v>1441.8</v>
      </c>
      <c r="D10" s="114">
        <v>318.73099999999999</v>
      </c>
      <c r="E10" s="113">
        <f t="shared" si="0"/>
        <v>22.1</v>
      </c>
      <c r="F10" s="115">
        <v>1035.7168095458758</v>
      </c>
    </row>
    <row r="11" spans="1:11" ht="15">
      <c r="A11" s="546" t="s">
        <v>22</v>
      </c>
      <c r="B11" s="104" t="s">
        <v>95</v>
      </c>
      <c r="C11" s="114">
        <v>1723.239</v>
      </c>
      <c r="D11" s="114">
        <v>1555.2829999999999</v>
      </c>
      <c r="E11" s="113">
        <f t="shared" si="0"/>
        <v>90.3</v>
      </c>
      <c r="F11" s="115">
        <v>1683.0166821130676</v>
      </c>
    </row>
    <row r="12" spans="1:11" ht="45.75" customHeight="1">
      <c r="A12" s="546" t="s">
        <v>23</v>
      </c>
      <c r="B12" s="104" t="s">
        <v>24</v>
      </c>
      <c r="C12" s="114">
        <v>56186.283000000003</v>
      </c>
      <c r="D12" s="114">
        <v>123186.785</v>
      </c>
      <c r="E12" s="113">
        <f t="shared" si="0"/>
        <v>219.2</v>
      </c>
      <c r="F12" s="115">
        <v>128392.75399675626</v>
      </c>
    </row>
    <row r="13" spans="1:11" ht="30">
      <c r="A13" s="546" t="s">
        <v>25</v>
      </c>
      <c r="B13" s="104" t="s">
        <v>26</v>
      </c>
      <c r="C13" s="114"/>
      <c r="D13" s="114"/>
      <c r="E13" s="113"/>
      <c r="F13" s="115">
        <v>0</v>
      </c>
    </row>
    <row r="14" spans="1:11" ht="30">
      <c r="A14" s="546" t="s">
        <v>27</v>
      </c>
      <c r="B14" s="104" t="s">
        <v>28</v>
      </c>
      <c r="C14" s="114">
        <v>13327.168</v>
      </c>
      <c r="D14" s="114">
        <v>10789.722</v>
      </c>
      <c r="E14" s="113">
        <f t="shared" si="0"/>
        <v>81</v>
      </c>
      <c r="F14" s="115">
        <v>13261.063195088045</v>
      </c>
    </row>
    <row r="15" spans="1:11" ht="45">
      <c r="A15" s="546" t="s">
        <v>29</v>
      </c>
      <c r="B15" s="104" t="s">
        <v>419</v>
      </c>
      <c r="C15" s="114"/>
      <c r="D15" s="114"/>
      <c r="E15" s="113"/>
      <c r="F15" s="108">
        <v>0</v>
      </c>
      <c r="G15" s="98"/>
      <c r="J15" s="98"/>
      <c r="K15" s="98"/>
    </row>
    <row r="16" spans="1:11" ht="30">
      <c r="A16" s="546" t="s">
        <v>30</v>
      </c>
      <c r="B16" s="104" t="s">
        <v>31</v>
      </c>
      <c r="C16" s="114"/>
      <c r="D16" s="114">
        <v>74.451999999999998</v>
      </c>
      <c r="E16" s="113"/>
      <c r="F16" s="115">
        <v>80.959221501390175</v>
      </c>
    </row>
    <row r="17" spans="1:6" ht="14.25">
      <c r="A17" s="103" t="s">
        <v>32</v>
      </c>
      <c r="B17" s="103" t="s">
        <v>33</v>
      </c>
      <c r="C17" s="109">
        <f>C18+C19+C20+C21+C22+C23+C24+C25</f>
        <v>3394548.31</v>
      </c>
      <c r="D17" s="109">
        <f>D18+D19+D20+D21+D22+D23+D24+D25</f>
        <v>3422455.5589999999</v>
      </c>
      <c r="E17" s="103">
        <f t="shared" si="0"/>
        <v>100.8</v>
      </c>
      <c r="F17" s="109">
        <f>F18+F19+F20+F21+F22+F23+F24+F25</f>
        <v>3371554.0109476368</v>
      </c>
    </row>
    <row r="18" spans="1:6" ht="15">
      <c r="A18" s="104" t="s">
        <v>34</v>
      </c>
      <c r="B18" s="104" t="s">
        <v>35</v>
      </c>
      <c r="C18" s="114">
        <v>2441577.5019999999</v>
      </c>
      <c r="D18" s="114">
        <v>2488238.1869999999</v>
      </c>
      <c r="E18" s="113">
        <f t="shared" si="0"/>
        <v>101.9</v>
      </c>
      <c r="F18" s="114">
        <v>2519215.9221501388</v>
      </c>
    </row>
    <row r="19" spans="1:6" ht="15">
      <c r="A19" s="104" t="s">
        <v>36</v>
      </c>
      <c r="B19" s="104" t="s">
        <v>37</v>
      </c>
      <c r="C19" s="114">
        <v>418325.29700000002</v>
      </c>
      <c r="D19" s="114">
        <v>436675.26299999998</v>
      </c>
      <c r="E19" s="113">
        <f t="shared" si="0"/>
        <v>104.4</v>
      </c>
      <c r="F19" s="115">
        <v>353337.29118396668</v>
      </c>
    </row>
    <row r="20" spans="1:6" ht="15">
      <c r="A20" s="104" t="s">
        <v>38</v>
      </c>
      <c r="B20" s="104" t="s">
        <v>39</v>
      </c>
      <c r="C20" s="114">
        <v>131740.802</v>
      </c>
      <c r="D20" s="114">
        <v>104539.412</v>
      </c>
      <c r="E20" s="113">
        <f t="shared" si="0"/>
        <v>79.400000000000006</v>
      </c>
      <c r="F20" s="115">
        <v>110705.57199953662</v>
      </c>
    </row>
    <row r="21" spans="1:6" ht="30">
      <c r="A21" s="104" t="s">
        <v>40</v>
      </c>
      <c r="B21" s="104" t="s">
        <v>41</v>
      </c>
      <c r="C21" s="114">
        <v>18295.560000000001</v>
      </c>
      <c r="D21" s="114">
        <v>16834.913</v>
      </c>
      <c r="E21" s="113">
        <f t="shared" si="0"/>
        <v>92</v>
      </c>
      <c r="F21" s="115">
        <v>16562.440048656164</v>
      </c>
    </row>
    <row r="22" spans="1:6" ht="45">
      <c r="A22" s="104" t="s">
        <v>42</v>
      </c>
      <c r="B22" s="104" t="s">
        <v>120</v>
      </c>
      <c r="C22" s="114"/>
      <c r="D22" s="114"/>
      <c r="E22" s="113"/>
      <c r="F22" s="115">
        <v>0</v>
      </c>
    </row>
    <row r="23" spans="1:6" ht="15">
      <c r="A23" s="104" t="s">
        <v>44</v>
      </c>
      <c r="B23" s="104" t="s">
        <v>45</v>
      </c>
      <c r="C23" s="114">
        <v>142471.57500000001</v>
      </c>
      <c r="D23" s="114">
        <v>140317.158</v>
      </c>
      <c r="E23" s="113">
        <f t="shared" si="0"/>
        <v>98.5</v>
      </c>
      <c r="F23" s="115">
        <v>128516.33775486563</v>
      </c>
    </row>
    <row r="24" spans="1:6" ht="17.25" customHeight="1">
      <c r="A24" s="104" t="s">
        <v>46</v>
      </c>
      <c r="B24" s="104" t="s">
        <v>47</v>
      </c>
      <c r="C24" s="114">
        <v>14481</v>
      </c>
      <c r="D24" s="114">
        <v>17631.612000000001</v>
      </c>
      <c r="E24" s="113">
        <f t="shared" si="0"/>
        <v>121.8</v>
      </c>
      <c r="F24" s="115">
        <v>15143.529309545876</v>
      </c>
    </row>
    <row r="25" spans="1:6" ht="15">
      <c r="A25" s="104" t="s">
        <v>48</v>
      </c>
      <c r="B25" s="104" t="s">
        <v>49</v>
      </c>
      <c r="C25" s="114">
        <v>227656.57399999999</v>
      </c>
      <c r="D25" s="114">
        <v>218219.014</v>
      </c>
      <c r="E25" s="113">
        <f>ROUND(D25/C25*100,1)</f>
        <v>95.9</v>
      </c>
      <c r="F25" s="115">
        <v>228072.91850092678</v>
      </c>
    </row>
    <row r="26" spans="1:6" ht="14.25">
      <c r="A26" s="103" t="s">
        <v>50</v>
      </c>
      <c r="B26" s="103" t="s">
        <v>51</v>
      </c>
      <c r="C26" s="112">
        <f>C6-C17</f>
        <v>-155079.02100000065</v>
      </c>
      <c r="D26" s="112">
        <f>D6-D17</f>
        <v>-136761.23699999973</v>
      </c>
      <c r="E26" s="107">
        <f>ROUND(D26/C26*100,1)</f>
        <v>88.2</v>
      </c>
      <c r="F26" s="108">
        <f>F6-F17</f>
        <v>-312379.20006950898</v>
      </c>
    </row>
    <row r="27" spans="1:6" ht="15">
      <c r="A27" s="528"/>
      <c r="B27" s="529"/>
      <c r="C27" s="530"/>
      <c r="D27" s="530"/>
      <c r="E27" s="531"/>
    </row>
    <row r="28" spans="1:6" ht="15">
      <c r="A28" s="528"/>
      <c r="B28" s="532"/>
      <c r="C28" s="530"/>
      <c r="D28" s="530"/>
      <c r="E28" s="533"/>
      <c r="F28" s="534"/>
    </row>
    <row r="29" spans="1:6" ht="15">
      <c r="B29" s="97"/>
      <c r="C29" s="527"/>
      <c r="D29" s="527"/>
      <c r="E29" s="536"/>
    </row>
    <row r="30" spans="1:6" ht="15">
      <c r="B30" s="97"/>
      <c r="C30" s="527"/>
      <c r="D30" s="527"/>
      <c r="E30" s="536"/>
    </row>
    <row r="31" spans="1:6" ht="15">
      <c r="B31" s="97"/>
      <c r="C31" s="537"/>
      <c r="D31" s="527"/>
      <c r="E31" s="536"/>
    </row>
    <row r="32" spans="1:6" ht="15">
      <c r="A32" s="538"/>
      <c r="B32" s="97"/>
      <c r="C32" s="537"/>
      <c r="D32" s="527"/>
      <c r="E32" s="536"/>
    </row>
    <row r="33" spans="1:11" ht="15">
      <c r="A33" s="538"/>
      <c r="C33" s="537"/>
      <c r="D33" s="527"/>
      <c r="E33" s="536"/>
    </row>
    <row r="34" spans="1:11" ht="15">
      <c r="A34" s="528"/>
      <c r="B34" s="97"/>
      <c r="C34" s="537"/>
      <c r="D34" s="527"/>
      <c r="E34" s="536"/>
    </row>
    <row r="35" spans="1:11" s="98" customFormat="1" ht="15">
      <c r="A35" s="539"/>
      <c r="B35" s="97"/>
      <c r="C35" s="537"/>
      <c r="D35" s="527"/>
      <c r="E35" s="97"/>
      <c r="G35" s="526"/>
      <c r="H35" s="526"/>
      <c r="I35" s="526"/>
      <c r="J35" s="526"/>
      <c r="K35" s="526"/>
    </row>
    <row r="36" spans="1:11">
      <c r="C36" s="540"/>
      <c r="D36" s="541"/>
      <c r="E36" s="526"/>
    </row>
    <row r="37" spans="1:11">
      <c r="C37" s="540"/>
      <c r="D37" s="541"/>
    </row>
    <row r="38" spans="1:11">
      <c r="D38" s="541"/>
    </row>
    <row r="39" spans="1:11">
      <c r="D39" s="541"/>
    </row>
    <row r="40" spans="1:11">
      <c r="B40" s="534"/>
      <c r="C40" s="542"/>
      <c r="D40" s="543"/>
      <c r="E40" s="542"/>
    </row>
    <row r="41" spans="1:11">
      <c r="B41" s="534"/>
      <c r="C41" s="542"/>
      <c r="D41" s="543"/>
      <c r="E41" s="542"/>
    </row>
    <row r="42" spans="1:11">
      <c r="B42" s="534"/>
      <c r="C42" s="542"/>
      <c r="D42" s="543"/>
      <c r="E42" s="542"/>
    </row>
    <row r="43" spans="1:11">
      <c r="B43" s="534"/>
      <c r="C43" s="542"/>
      <c r="D43" s="543"/>
      <c r="E43" s="542"/>
    </row>
    <row r="44" spans="1:11">
      <c r="B44" s="534"/>
      <c r="C44" s="542"/>
      <c r="D44" s="543"/>
      <c r="E44" s="542"/>
    </row>
    <row r="45" spans="1:11">
      <c r="B45" s="534"/>
      <c r="C45" s="542"/>
      <c r="D45" s="543"/>
      <c r="E45" s="542"/>
    </row>
    <row r="46" spans="1:11">
      <c r="B46" s="534"/>
      <c r="C46" s="542"/>
      <c r="D46" s="543"/>
      <c r="E46" s="542"/>
    </row>
    <row r="47" spans="1:11">
      <c r="B47" s="534"/>
      <c r="C47" s="542"/>
      <c r="D47" s="543"/>
      <c r="E47" s="542"/>
    </row>
    <row r="48" spans="1:11">
      <c r="B48" s="534"/>
      <c r="C48" s="542"/>
      <c r="D48" s="543"/>
      <c r="E48" s="542"/>
    </row>
    <row r="49" spans="2:5">
      <c r="B49" s="534"/>
      <c r="C49" s="542"/>
      <c r="D49" s="543"/>
      <c r="E49" s="542"/>
    </row>
    <row r="50" spans="2:5">
      <c r="B50" s="534"/>
      <c r="C50" s="542"/>
      <c r="D50" s="543"/>
      <c r="E50" s="542"/>
    </row>
    <row r="51" spans="2:5">
      <c r="B51" s="534"/>
      <c r="C51" s="542"/>
      <c r="D51" s="543"/>
      <c r="E51" s="542"/>
    </row>
    <row r="52" spans="2:5">
      <c r="B52" s="534"/>
      <c r="C52" s="542"/>
      <c r="D52" s="543"/>
      <c r="E52" s="542"/>
    </row>
    <row r="53" spans="2:5">
      <c r="B53" s="534"/>
      <c r="C53" s="542"/>
      <c r="D53" s="543"/>
      <c r="E53" s="542"/>
    </row>
    <row r="54" spans="2:5">
      <c r="B54" s="534"/>
      <c r="C54" s="542"/>
      <c r="D54" s="543"/>
      <c r="E54" s="542"/>
    </row>
    <row r="55" spans="2:5">
      <c r="B55" s="534"/>
      <c r="C55" s="542"/>
      <c r="D55" s="543"/>
      <c r="E55" s="542"/>
    </row>
    <row r="56" spans="2:5">
      <c r="B56" s="534"/>
      <c r="C56" s="542"/>
      <c r="D56" s="543"/>
      <c r="E56" s="542"/>
    </row>
    <row r="57" spans="2:5">
      <c r="B57" s="534"/>
      <c r="C57" s="542"/>
      <c r="D57" s="543"/>
      <c r="E57" s="542"/>
    </row>
    <row r="58" spans="2:5">
      <c r="B58" s="534"/>
      <c r="C58" s="542"/>
      <c r="D58" s="543"/>
      <c r="E58" s="542"/>
    </row>
    <row r="59" spans="2:5">
      <c r="B59" s="534"/>
      <c r="C59" s="542"/>
      <c r="D59" s="543"/>
      <c r="E59" s="542"/>
    </row>
    <row r="60" spans="2:5">
      <c r="B60" s="534"/>
      <c r="C60" s="542"/>
      <c r="D60" s="543"/>
      <c r="E60" s="542"/>
    </row>
    <row r="61" spans="2:5">
      <c r="B61" s="534"/>
      <c r="C61" s="542"/>
      <c r="D61" s="543"/>
      <c r="E61" s="542"/>
    </row>
    <row r="62" spans="2:5">
      <c r="B62" s="534"/>
      <c r="C62" s="542"/>
      <c r="D62" s="543"/>
      <c r="E62" s="542"/>
    </row>
    <row r="63" spans="2:5">
      <c r="B63" s="534"/>
      <c r="C63" s="542"/>
      <c r="D63" s="543"/>
      <c r="E63" s="542"/>
    </row>
    <row r="64" spans="2:5">
      <c r="B64" s="534"/>
      <c r="C64" s="542"/>
      <c r="D64" s="543"/>
      <c r="E64" s="542"/>
    </row>
    <row r="65" spans="2:5">
      <c r="B65" s="534"/>
      <c r="C65" s="542"/>
      <c r="D65" s="543"/>
      <c r="E65" s="542"/>
    </row>
    <row r="66" spans="2:5">
      <c r="B66" s="534"/>
      <c r="C66" s="542"/>
      <c r="D66" s="543"/>
      <c r="E66" s="542"/>
    </row>
    <row r="67" spans="2:5">
      <c r="B67" s="534"/>
      <c r="C67" s="542"/>
      <c r="D67" s="543"/>
      <c r="E67" s="542"/>
    </row>
    <row r="68" spans="2:5">
      <c r="B68" s="534"/>
      <c r="C68" s="542"/>
      <c r="D68" s="543"/>
      <c r="E68" s="542"/>
    </row>
    <row r="69" spans="2:5">
      <c r="B69" s="534"/>
      <c r="C69" s="542"/>
      <c r="D69" s="543"/>
      <c r="E69" s="542"/>
    </row>
    <row r="70" spans="2:5">
      <c r="B70" s="534"/>
      <c r="C70" s="542"/>
      <c r="D70" s="543"/>
      <c r="E70" s="542"/>
    </row>
    <row r="71" spans="2:5">
      <c r="B71" s="534"/>
      <c r="C71" s="542"/>
      <c r="D71" s="543"/>
      <c r="E71" s="542"/>
    </row>
    <row r="72" spans="2:5">
      <c r="B72" s="534"/>
      <c r="C72" s="542"/>
      <c r="D72" s="543"/>
      <c r="E72" s="542"/>
    </row>
    <row r="73" spans="2:5">
      <c r="B73" s="534"/>
      <c r="C73" s="542"/>
      <c r="D73" s="543"/>
      <c r="E73" s="542"/>
    </row>
    <row r="74" spans="2:5">
      <c r="B74" s="534"/>
      <c r="C74" s="542"/>
      <c r="D74" s="543"/>
      <c r="E74" s="542"/>
    </row>
    <row r="75" spans="2:5">
      <c r="B75" s="534"/>
      <c r="C75" s="542"/>
      <c r="D75" s="543"/>
      <c r="E75" s="542"/>
    </row>
    <row r="76" spans="2:5">
      <c r="B76" s="534"/>
      <c r="C76" s="542"/>
      <c r="D76" s="543"/>
      <c r="E76" s="542"/>
    </row>
    <row r="77" spans="2:5">
      <c r="B77" s="534"/>
      <c r="C77" s="542"/>
      <c r="D77" s="543"/>
      <c r="E77" s="542"/>
    </row>
    <row r="78" spans="2:5">
      <c r="B78" s="534"/>
      <c r="C78" s="542"/>
      <c r="D78" s="543"/>
      <c r="E78" s="542"/>
    </row>
    <row r="79" spans="2:5">
      <c r="B79" s="534"/>
      <c r="C79" s="542"/>
      <c r="D79" s="543"/>
      <c r="E79" s="542"/>
    </row>
    <row r="80" spans="2:5">
      <c r="B80" s="534"/>
      <c r="C80" s="542"/>
      <c r="D80" s="543"/>
      <c r="E80" s="542"/>
    </row>
    <row r="81" spans="2:5">
      <c r="B81" s="534"/>
      <c r="C81" s="542"/>
      <c r="D81" s="543"/>
      <c r="E81" s="542"/>
    </row>
    <row r="82" spans="2:5">
      <c r="B82" s="534"/>
      <c r="C82" s="542"/>
      <c r="D82" s="543"/>
      <c r="E82" s="542"/>
    </row>
    <row r="83" spans="2:5">
      <c r="B83" s="534"/>
      <c r="C83" s="542"/>
      <c r="D83" s="543"/>
      <c r="E83" s="542"/>
    </row>
    <row r="84" spans="2:5">
      <c r="B84" s="534"/>
      <c r="C84" s="542"/>
      <c r="D84" s="543"/>
      <c r="E84" s="542"/>
    </row>
    <row r="85" spans="2:5">
      <c r="B85" s="534"/>
      <c r="C85" s="542"/>
      <c r="D85" s="543"/>
      <c r="E85" s="542"/>
    </row>
    <row r="86" spans="2:5">
      <c r="B86" s="534"/>
      <c r="C86" s="542"/>
      <c r="D86" s="543"/>
      <c r="E86" s="542"/>
    </row>
    <row r="87" spans="2:5">
      <c r="B87" s="534"/>
      <c r="C87" s="542"/>
      <c r="D87" s="543"/>
      <c r="E87" s="542"/>
    </row>
    <row r="88" spans="2:5">
      <c r="B88" s="534"/>
      <c r="C88" s="542"/>
      <c r="D88" s="543"/>
      <c r="E88" s="542"/>
    </row>
    <row r="89" spans="2:5">
      <c r="B89" s="534"/>
      <c r="C89" s="542"/>
      <c r="D89" s="543"/>
      <c r="E89" s="542"/>
    </row>
    <row r="90" spans="2:5">
      <c r="B90" s="534"/>
      <c r="C90" s="542"/>
      <c r="D90" s="543"/>
      <c r="E90" s="542"/>
    </row>
    <row r="91" spans="2:5">
      <c r="B91" s="534"/>
      <c r="C91" s="542"/>
      <c r="D91" s="543"/>
      <c r="E91" s="542"/>
    </row>
    <row r="92" spans="2:5">
      <c r="B92" s="534"/>
      <c r="C92" s="542"/>
      <c r="D92" s="543"/>
      <c r="E92" s="542"/>
    </row>
    <row r="93" spans="2:5">
      <c r="B93" s="534"/>
      <c r="C93" s="542"/>
      <c r="D93" s="543"/>
      <c r="E93" s="542"/>
    </row>
    <row r="94" spans="2:5">
      <c r="B94" s="534"/>
      <c r="C94" s="542"/>
      <c r="D94" s="543"/>
      <c r="E94" s="542"/>
    </row>
    <row r="95" spans="2:5">
      <c r="B95" s="534"/>
      <c r="C95" s="542"/>
      <c r="D95" s="543"/>
      <c r="E95" s="542"/>
    </row>
    <row r="96" spans="2:5">
      <c r="B96" s="534"/>
      <c r="C96" s="542"/>
      <c r="D96" s="543"/>
      <c r="E96" s="542"/>
    </row>
    <row r="97" spans="2:5">
      <c r="B97" s="534"/>
      <c r="C97" s="542"/>
      <c r="D97" s="543"/>
      <c r="E97" s="542"/>
    </row>
    <row r="98" spans="2:5">
      <c r="B98" s="534"/>
      <c r="C98" s="542"/>
      <c r="D98" s="543"/>
      <c r="E98" s="542"/>
    </row>
    <row r="99" spans="2:5">
      <c r="B99" s="534"/>
      <c r="C99" s="542"/>
      <c r="D99" s="543"/>
      <c r="E99" s="542"/>
    </row>
    <row r="100" spans="2:5">
      <c r="B100" s="534"/>
      <c r="C100" s="542"/>
      <c r="D100" s="543"/>
      <c r="E100" s="542"/>
    </row>
    <row r="101" spans="2:5">
      <c r="B101" s="534"/>
      <c r="C101" s="542"/>
      <c r="D101" s="543"/>
      <c r="E101" s="542"/>
    </row>
    <row r="102" spans="2:5">
      <c r="B102" s="534"/>
      <c r="C102" s="542"/>
      <c r="D102" s="543"/>
      <c r="E102" s="542"/>
    </row>
    <row r="103" spans="2:5">
      <c r="B103" s="534"/>
      <c r="C103" s="542"/>
      <c r="D103" s="543"/>
      <c r="E103" s="542"/>
    </row>
    <row r="104" spans="2:5">
      <c r="B104" s="534"/>
      <c r="C104" s="542"/>
      <c r="D104" s="543"/>
      <c r="E104" s="542"/>
    </row>
    <row r="105" spans="2:5">
      <c r="B105" s="534"/>
      <c r="C105" s="542"/>
      <c r="D105" s="543"/>
      <c r="E105" s="542"/>
    </row>
    <row r="106" spans="2:5">
      <c r="B106" s="534"/>
      <c r="C106" s="542"/>
      <c r="D106" s="543"/>
      <c r="E106" s="542"/>
    </row>
    <row r="107" spans="2:5">
      <c r="B107" s="534"/>
      <c r="C107" s="542"/>
      <c r="D107" s="543"/>
      <c r="E107" s="542"/>
    </row>
    <row r="108" spans="2:5">
      <c r="B108" s="534"/>
      <c r="C108" s="542"/>
      <c r="D108" s="543"/>
      <c r="E108" s="542"/>
    </row>
    <row r="109" spans="2:5">
      <c r="B109" s="534"/>
      <c r="C109" s="542"/>
      <c r="D109" s="543"/>
      <c r="E109" s="542"/>
    </row>
    <row r="110" spans="2:5">
      <c r="B110" s="534"/>
      <c r="C110" s="542"/>
      <c r="D110" s="543"/>
      <c r="E110" s="542"/>
    </row>
    <row r="111" spans="2:5">
      <c r="B111" s="534"/>
      <c r="C111" s="542"/>
      <c r="D111" s="543"/>
      <c r="E111" s="542"/>
    </row>
    <row r="112" spans="2:5">
      <c r="B112" s="534"/>
      <c r="C112" s="542"/>
      <c r="D112" s="543"/>
      <c r="E112" s="542"/>
    </row>
    <row r="113" spans="2:5">
      <c r="B113" s="534"/>
      <c r="C113" s="542"/>
      <c r="D113" s="543"/>
      <c r="E113" s="542"/>
    </row>
    <row r="114" spans="2:5">
      <c r="B114" s="534"/>
      <c r="C114" s="542"/>
      <c r="D114" s="543"/>
      <c r="E114" s="542"/>
    </row>
    <row r="115" spans="2:5">
      <c r="B115" s="534"/>
      <c r="C115" s="542"/>
      <c r="D115" s="543"/>
      <c r="E115" s="542"/>
    </row>
  </sheetData>
  <mergeCells count="1">
    <mergeCell ref="A3:F3"/>
  </mergeCells>
  <hyperlinks>
    <hyperlink ref="A1" location="turinys!A1" display="Grįžti į turinį"/>
  </hyperlinks>
  <pageMargins left="0.23622047244094491" right="0.23622047244094491" top="0.98425196850393704" bottom="0.98425196850393704" header="0.51181102362204722" footer="0.51181102362204722"/>
  <pageSetup paperSize="9" orientation="portrait" r:id="rId1"/>
  <headerFooter alignWithMargins="0">
    <oddHeader>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101"/>
  <sheetViews>
    <sheetView tabSelected="1" topLeftCell="A34" workbookViewId="0"/>
  </sheetViews>
  <sheetFormatPr defaultRowHeight="12.75"/>
  <cols>
    <col min="1" max="1" width="11.140625" style="4" bestFit="1" customWidth="1"/>
    <col min="2" max="2" width="37" style="4" customWidth="1"/>
    <col min="3" max="3" width="15.42578125" style="4" bestFit="1" customWidth="1"/>
    <col min="4" max="4" width="15.42578125" style="5" bestFit="1" customWidth="1"/>
    <col min="5" max="5" width="14.42578125" style="4" bestFit="1" customWidth="1"/>
    <col min="6" max="6" width="15.42578125" style="4" bestFit="1" customWidth="1"/>
    <col min="7" max="257" width="9.140625" style="4"/>
    <col min="258" max="258" width="37" style="4" customWidth="1"/>
    <col min="259" max="259" width="16.140625" style="4" customWidth="1"/>
    <col min="260" max="260" width="16.5703125" style="4" customWidth="1"/>
    <col min="261" max="261" width="14.7109375" style="4" customWidth="1"/>
    <col min="262" max="262" width="16.5703125" style="4" customWidth="1"/>
    <col min="263" max="513" width="9.140625" style="4"/>
    <col min="514" max="514" width="37" style="4" customWidth="1"/>
    <col min="515" max="515" width="16.140625" style="4" customWidth="1"/>
    <col min="516" max="516" width="16.5703125" style="4" customWidth="1"/>
    <col min="517" max="517" width="14.7109375" style="4" customWidth="1"/>
    <col min="518" max="518" width="16.5703125" style="4" customWidth="1"/>
    <col min="519" max="769" width="9.140625" style="4"/>
    <col min="770" max="770" width="37" style="4" customWidth="1"/>
    <col min="771" max="771" width="16.140625" style="4" customWidth="1"/>
    <col min="772" max="772" width="16.5703125" style="4" customWidth="1"/>
    <col min="773" max="773" width="14.7109375" style="4" customWidth="1"/>
    <col min="774" max="774" width="16.5703125" style="4" customWidth="1"/>
    <col min="775" max="1025" width="9.140625" style="4"/>
    <col min="1026" max="1026" width="37" style="4" customWidth="1"/>
    <col min="1027" max="1027" width="16.140625" style="4" customWidth="1"/>
    <col min="1028" max="1028" width="16.5703125" style="4" customWidth="1"/>
    <col min="1029" max="1029" width="14.7109375" style="4" customWidth="1"/>
    <col min="1030" max="1030" width="16.5703125" style="4" customWidth="1"/>
    <col min="1031" max="1281" width="9.140625" style="4"/>
    <col min="1282" max="1282" width="37" style="4" customWidth="1"/>
    <col min="1283" max="1283" width="16.140625" style="4" customWidth="1"/>
    <col min="1284" max="1284" width="16.5703125" style="4" customWidth="1"/>
    <col min="1285" max="1285" width="14.7109375" style="4" customWidth="1"/>
    <col min="1286" max="1286" width="16.5703125" style="4" customWidth="1"/>
    <col min="1287" max="1537" width="9.140625" style="4"/>
    <col min="1538" max="1538" width="37" style="4" customWidth="1"/>
    <col min="1539" max="1539" width="16.140625" style="4" customWidth="1"/>
    <col min="1540" max="1540" width="16.5703125" style="4" customWidth="1"/>
    <col min="1541" max="1541" width="14.7109375" style="4" customWidth="1"/>
    <col min="1542" max="1542" width="16.5703125" style="4" customWidth="1"/>
    <col min="1543" max="1793" width="9.140625" style="4"/>
    <col min="1794" max="1794" width="37" style="4" customWidth="1"/>
    <col min="1795" max="1795" width="16.140625" style="4" customWidth="1"/>
    <col min="1796" max="1796" width="16.5703125" style="4" customWidth="1"/>
    <col min="1797" max="1797" width="14.7109375" style="4" customWidth="1"/>
    <col min="1798" max="1798" width="16.5703125" style="4" customWidth="1"/>
    <col min="1799" max="2049" width="9.140625" style="4"/>
    <col min="2050" max="2050" width="37" style="4" customWidth="1"/>
    <col min="2051" max="2051" width="16.140625" style="4" customWidth="1"/>
    <col min="2052" max="2052" width="16.5703125" style="4" customWidth="1"/>
    <col min="2053" max="2053" width="14.7109375" style="4" customWidth="1"/>
    <col min="2054" max="2054" width="16.5703125" style="4" customWidth="1"/>
    <col min="2055" max="2305" width="9.140625" style="4"/>
    <col min="2306" max="2306" width="37" style="4" customWidth="1"/>
    <col min="2307" max="2307" width="16.140625" style="4" customWidth="1"/>
    <col min="2308" max="2308" width="16.5703125" style="4" customWidth="1"/>
    <col min="2309" max="2309" width="14.7109375" style="4" customWidth="1"/>
    <col min="2310" max="2310" width="16.5703125" style="4" customWidth="1"/>
    <col min="2311" max="2561" width="9.140625" style="4"/>
    <col min="2562" max="2562" width="37" style="4" customWidth="1"/>
    <col min="2563" max="2563" width="16.140625" style="4" customWidth="1"/>
    <col min="2564" max="2564" width="16.5703125" style="4" customWidth="1"/>
    <col min="2565" max="2565" width="14.7109375" style="4" customWidth="1"/>
    <col min="2566" max="2566" width="16.5703125" style="4" customWidth="1"/>
    <col min="2567" max="2817" width="9.140625" style="4"/>
    <col min="2818" max="2818" width="37" style="4" customWidth="1"/>
    <col min="2819" max="2819" width="16.140625" style="4" customWidth="1"/>
    <col min="2820" max="2820" width="16.5703125" style="4" customWidth="1"/>
    <col min="2821" max="2821" width="14.7109375" style="4" customWidth="1"/>
    <col min="2822" max="2822" width="16.5703125" style="4" customWidth="1"/>
    <col min="2823" max="3073" width="9.140625" style="4"/>
    <col min="3074" max="3074" width="37" style="4" customWidth="1"/>
    <col min="3075" max="3075" width="16.140625" style="4" customWidth="1"/>
    <col min="3076" max="3076" width="16.5703125" style="4" customWidth="1"/>
    <col min="3077" max="3077" width="14.7109375" style="4" customWidth="1"/>
    <col min="3078" max="3078" width="16.5703125" style="4" customWidth="1"/>
    <col min="3079" max="3329" width="9.140625" style="4"/>
    <col min="3330" max="3330" width="37" style="4" customWidth="1"/>
    <col min="3331" max="3331" width="16.140625" style="4" customWidth="1"/>
    <col min="3332" max="3332" width="16.5703125" style="4" customWidth="1"/>
    <col min="3333" max="3333" width="14.7109375" style="4" customWidth="1"/>
    <col min="3334" max="3334" width="16.5703125" style="4" customWidth="1"/>
    <col min="3335" max="3585" width="9.140625" style="4"/>
    <col min="3586" max="3586" width="37" style="4" customWidth="1"/>
    <col min="3587" max="3587" width="16.140625" style="4" customWidth="1"/>
    <col min="3588" max="3588" width="16.5703125" style="4" customWidth="1"/>
    <col min="3589" max="3589" width="14.7109375" style="4" customWidth="1"/>
    <col min="3590" max="3590" width="16.5703125" style="4" customWidth="1"/>
    <col min="3591" max="3841" width="9.140625" style="4"/>
    <col min="3842" max="3842" width="37" style="4" customWidth="1"/>
    <col min="3843" max="3843" width="16.140625" style="4" customWidth="1"/>
    <col min="3844" max="3844" width="16.5703125" style="4" customWidth="1"/>
    <col min="3845" max="3845" width="14.7109375" style="4" customWidth="1"/>
    <col min="3846" max="3846" width="16.5703125" style="4" customWidth="1"/>
    <col min="3847" max="4097" width="9.140625" style="4"/>
    <col min="4098" max="4098" width="37" style="4" customWidth="1"/>
    <col min="4099" max="4099" width="16.140625" style="4" customWidth="1"/>
    <col min="4100" max="4100" width="16.5703125" style="4" customWidth="1"/>
    <col min="4101" max="4101" width="14.7109375" style="4" customWidth="1"/>
    <col min="4102" max="4102" width="16.5703125" style="4" customWidth="1"/>
    <col min="4103" max="4353" width="9.140625" style="4"/>
    <col min="4354" max="4354" width="37" style="4" customWidth="1"/>
    <col min="4355" max="4355" width="16.140625" style="4" customWidth="1"/>
    <col min="4356" max="4356" width="16.5703125" style="4" customWidth="1"/>
    <col min="4357" max="4357" width="14.7109375" style="4" customWidth="1"/>
    <col min="4358" max="4358" width="16.5703125" style="4" customWidth="1"/>
    <col min="4359" max="4609" width="9.140625" style="4"/>
    <col min="4610" max="4610" width="37" style="4" customWidth="1"/>
    <col min="4611" max="4611" width="16.140625" style="4" customWidth="1"/>
    <col min="4612" max="4612" width="16.5703125" style="4" customWidth="1"/>
    <col min="4613" max="4613" width="14.7109375" style="4" customWidth="1"/>
    <col min="4614" max="4614" width="16.5703125" style="4" customWidth="1"/>
    <col min="4615" max="4865" width="9.140625" style="4"/>
    <col min="4866" max="4866" width="37" style="4" customWidth="1"/>
    <col min="4867" max="4867" width="16.140625" style="4" customWidth="1"/>
    <col min="4868" max="4868" width="16.5703125" style="4" customWidth="1"/>
    <col min="4869" max="4869" width="14.7109375" style="4" customWidth="1"/>
    <col min="4870" max="4870" width="16.5703125" style="4" customWidth="1"/>
    <col min="4871" max="5121" width="9.140625" style="4"/>
    <col min="5122" max="5122" width="37" style="4" customWidth="1"/>
    <col min="5123" max="5123" width="16.140625" style="4" customWidth="1"/>
    <col min="5124" max="5124" width="16.5703125" style="4" customWidth="1"/>
    <col min="5125" max="5125" width="14.7109375" style="4" customWidth="1"/>
    <col min="5126" max="5126" width="16.5703125" style="4" customWidth="1"/>
    <col min="5127" max="5377" width="9.140625" style="4"/>
    <col min="5378" max="5378" width="37" style="4" customWidth="1"/>
    <col min="5379" max="5379" width="16.140625" style="4" customWidth="1"/>
    <col min="5380" max="5380" width="16.5703125" style="4" customWidth="1"/>
    <col min="5381" max="5381" width="14.7109375" style="4" customWidth="1"/>
    <col min="5382" max="5382" width="16.5703125" style="4" customWidth="1"/>
    <col min="5383" max="5633" width="9.140625" style="4"/>
    <col min="5634" max="5634" width="37" style="4" customWidth="1"/>
    <col min="5635" max="5635" width="16.140625" style="4" customWidth="1"/>
    <col min="5636" max="5636" width="16.5703125" style="4" customWidth="1"/>
    <col min="5637" max="5637" width="14.7109375" style="4" customWidth="1"/>
    <col min="5638" max="5638" width="16.5703125" style="4" customWidth="1"/>
    <col min="5639" max="5889" width="9.140625" style="4"/>
    <col min="5890" max="5890" width="37" style="4" customWidth="1"/>
    <col min="5891" max="5891" width="16.140625" style="4" customWidth="1"/>
    <col min="5892" max="5892" width="16.5703125" style="4" customWidth="1"/>
    <col min="5893" max="5893" width="14.7109375" style="4" customWidth="1"/>
    <col min="5894" max="5894" width="16.5703125" style="4" customWidth="1"/>
    <col min="5895" max="6145" width="9.140625" style="4"/>
    <col min="6146" max="6146" width="37" style="4" customWidth="1"/>
    <col min="6147" max="6147" width="16.140625" style="4" customWidth="1"/>
    <col min="6148" max="6148" width="16.5703125" style="4" customWidth="1"/>
    <col min="6149" max="6149" width="14.7109375" style="4" customWidth="1"/>
    <col min="6150" max="6150" width="16.5703125" style="4" customWidth="1"/>
    <col min="6151" max="6401" width="9.140625" style="4"/>
    <col min="6402" max="6402" width="37" style="4" customWidth="1"/>
    <col min="6403" max="6403" width="16.140625" style="4" customWidth="1"/>
    <col min="6404" max="6404" width="16.5703125" style="4" customWidth="1"/>
    <col min="6405" max="6405" width="14.7109375" style="4" customWidth="1"/>
    <col min="6406" max="6406" width="16.5703125" style="4" customWidth="1"/>
    <col min="6407" max="6657" width="9.140625" style="4"/>
    <col min="6658" max="6658" width="37" style="4" customWidth="1"/>
    <col min="6659" max="6659" width="16.140625" style="4" customWidth="1"/>
    <col min="6660" max="6660" width="16.5703125" style="4" customWidth="1"/>
    <col min="6661" max="6661" width="14.7109375" style="4" customWidth="1"/>
    <col min="6662" max="6662" width="16.5703125" style="4" customWidth="1"/>
    <col min="6663" max="6913" width="9.140625" style="4"/>
    <col min="6914" max="6914" width="37" style="4" customWidth="1"/>
    <col min="6915" max="6915" width="16.140625" style="4" customWidth="1"/>
    <col min="6916" max="6916" width="16.5703125" style="4" customWidth="1"/>
    <col min="6917" max="6917" width="14.7109375" style="4" customWidth="1"/>
    <col min="6918" max="6918" width="16.5703125" style="4" customWidth="1"/>
    <col min="6919" max="7169" width="9.140625" style="4"/>
    <col min="7170" max="7170" width="37" style="4" customWidth="1"/>
    <col min="7171" max="7171" width="16.140625" style="4" customWidth="1"/>
    <col min="7172" max="7172" width="16.5703125" style="4" customWidth="1"/>
    <col min="7173" max="7173" width="14.7109375" style="4" customWidth="1"/>
    <col min="7174" max="7174" width="16.5703125" style="4" customWidth="1"/>
    <col min="7175" max="7425" width="9.140625" style="4"/>
    <col min="7426" max="7426" width="37" style="4" customWidth="1"/>
    <col min="7427" max="7427" width="16.140625" style="4" customWidth="1"/>
    <col min="7428" max="7428" width="16.5703125" style="4" customWidth="1"/>
    <col min="7429" max="7429" width="14.7109375" style="4" customWidth="1"/>
    <col min="7430" max="7430" width="16.5703125" style="4" customWidth="1"/>
    <col min="7431" max="7681" width="9.140625" style="4"/>
    <col min="7682" max="7682" width="37" style="4" customWidth="1"/>
    <col min="7683" max="7683" width="16.140625" style="4" customWidth="1"/>
    <col min="7684" max="7684" width="16.5703125" style="4" customWidth="1"/>
    <col min="7685" max="7685" width="14.7109375" style="4" customWidth="1"/>
    <col min="7686" max="7686" width="16.5703125" style="4" customWidth="1"/>
    <col min="7687" max="7937" width="9.140625" style="4"/>
    <col min="7938" max="7938" width="37" style="4" customWidth="1"/>
    <col min="7939" max="7939" width="16.140625" style="4" customWidth="1"/>
    <col min="7940" max="7940" width="16.5703125" style="4" customWidth="1"/>
    <col min="7941" max="7941" width="14.7109375" style="4" customWidth="1"/>
    <col min="7942" max="7942" width="16.5703125" style="4" customWidth="1"/>
    <col min="7943" max="8193" width="9.140625" style="4"/>
    <col min="8194" max="8194" width="37" style="4" customWidth="1"/>
    <col min="8195" max="8195" width="16.140625" style="4" customWidth="1"/>
    <col min="8196" max="8196" width="16.5703125" style="4" customWidth="1"/>
    <col min="8197" max="8197" width="14.7109375" style="4" customWidth="1"/>
    <col min="8198" max="8198" width="16.5703125" style="4" customWidth="1"/>
    <col min="8199" max="8449" width="9.140625" style="4"/>
    <col min="8450" max="8450" width="37" style="4" customWidth="1"/>
    <col min="8451" max="8451" width="16.140625" style="4" customWidth="1"/>
    <col min="8452" max="8452" width="16.5703125" style="4" customWidth="1"/>
    <col min="8453" max="8453" width="14.7109375" style="4" customWidth="1"/>
    <col min="8454" max="8454" width="16.5703125" style="4" customWidth="1"/>
    <col min="8455" max="8705" width="9.140625" style="4"/>
    <col min="8706" max="8706" width="37" style="4" customWidth="1"/>
    <col min="8707" max="8707" width="16.140625" style="4" customWidth="1"/>
    <col min="8708" max="8708" width="16.5703125" style="4" customWidth="1"/>
    <col min="8709" max="8709" width="14.7109375" style="4" customWidth="1"/>
    <col min="8710" max="8710" width="16.5703125" style="4" customWidth="1"/>
    <col min="8711" max="8961" width="9.140625" style="4"/>
    <col min="8962" max="8962" width="37" style="4" customWidth="1"/>
    <col min="8963" max="8963" width="16.140625" style="4" customWidth="1"/>
    <col min="8964" max="8964" width="16.5703125" style="4" customWidth="1"/>
    <col min="8965" max="8965" width="14.7109375" style="4" customWidth="1"/>
    <col min="8966" max="8966" width="16.5703125" style="4" customWidth="1"/>
    <col min="8967" max="9217" width="9.140625" style="4"/>
    <col min="9218" max="9218" width="37" style="4" customWidth="1"/>
    <col min="9219" max="9219" width="16.140625" style="4" customWidth="1"/>
    <col min="9220" max="9220" width="16.5703125" style="4" customWidth="1"/>
    <col min="9221" max="9221" width="14.7109375" style="4" customWidth="1"/>
    <col min="9222" max="9222" width="16.5703125" style="4" customWidth="1"/>
    <col min="9223" max="9473" width="9.140625" style="4"/>
    <col min="9474" max="9474" width="37" style="4" customWidth="1"/>
    <col min="9475" max="9475" width="16.140625" style="4" customWidth="1"/>
    <col min="9476" max="9476" width="16.5703125" style="4" customWidth="1"/>
    <col min="9477" max="9477" width="14.7109375" style="4" customWidth="1"/>
    <col min="9478" max="9478" width="16.5703125" style="4" customWidth="1"/>
    <col min="9479" max="9729" width="9.140625" style="4"/>
    <col min="9730" max="9730" width="37" style="4" customWidth="1"/>
    <col min="9731" max="9731" width="16.140625" style="4" customWidth="1"/>
    <col min="9732" max="9732" width="16.5703125" style="4" customWidth="1"/>
    <col min="9733" max="9733" width="14.7109375" style="4" customWidth="1"/>
    <col min="9734" max="9734" width="16.5703125" style="4" customWidth="1"/>
    <col min="9735" max="9985" width="9.140625" style="4"/>
    <col min="9986" max="9986" width="37" style="4" customWidth="1"/>
    <col min="9987" max="9987" width="16.140625" style="4" customWidth="1"/>
    <col min="9988" max="9988" width="16.5703125" style="4" customWidth="1"/>
    <col min="9989" max="9989" width="14.7109375" style="4" customWidth="1"/>
    <col min="9990" max="9990" width="16.5703125" style="4" customWidth="1"/>
    <col min="9991" max="10241" width="9.140625" style="4"/>
    <col min="10242" max="10242" width="37" style="4" customWidth="1"/>
    <col min="10243" max="10243" width="16.140625" style="4" customWidth="1"/>
    <col min="10244" max="10244" width="16.5703125" style="4" customWidth="1"/>
    <col min="10245" max="10245" width="14.7109375" style="4" customWidth="1"/>
    <col min="10246" max="10246" width="16.5703125" style="4" customWidth="1"/>
    <col min="10247" max="10497" width="9.140625" style="4"/>
    <col min="10498" max="10498" width="37" style="4" customWidth="1"/>
    <col min="10499" max="10499" width="16.140625" style="4" customWidth="1"/>
    <col min="10500" max="10500" width="16.5703125" style="4" customWidth="1"/>
    <col min="10501" max="10501" width="14.7109375" style="4" customWidth="1"/>
    <col min="10502" max="10502" width="16.5703125" style="4" customWidth="1"/>
    <col min="10503" max="10753" width="9.140625" style="4"/>
    <col min="10754" max="10754" width="37" style="4" customWidth="1"/>
    <col min="10755" max="10755" width="16.140625" style="4" customWidth="1"/>
    <col min="10756" max="10756" width="16.5703125" style="4" customWidth="1"/>
    <col min="10757" max="10757" width="14.7109375" style="4" customWidth="1"/>
    <col min="10758" max="10758" width="16.5703125" style="4" customWidth="1"/>
    <col min="10759" max="11009" width="9.140625" style="4"/>
    <col min="11010" max="11010" width="37" style="4" customWidth="1"/>
    <col min="11011" max="11011" width="16.140625" style="4" customWidth="1"/>
    <col min="11012" max="11012" width="16.5703125" style="4" customWidth="1"/>
    <col min="11013" max="11013" width="14.7109375" style="4" customWidth="1"/>
    <col min="11014" max="11014" width="16.5703125" style="4" customWidth="1"/>
    <col min="11015" max="11265" width="9.140625" style="4"/>
    <col min="11266" max="11266" width="37" style="4" customWidth="1"/>
    <col min="11267" max="11267" width="16.140625" style="4" customWidth="1"/>
    <col min="11268" max="11268" width="16.5703125" style="4" customWidth="1"/>
    <col min="11269" max="11269" width="14.7109375" style="4" customWidth="1"/>
    <col min="11270" max="11270" width="16.5703125" style="4" customWidth="1"/>
    <col min="11271" max="11521" width="9.140625" style="4"/>
    <col min="11522" max="11522" width="37" style="4" customWidth="1"/>
    <col min="11523" max="11523" width="16.140625" style="4" customWidth="1"/>
    <col min="11524" max="11524" width="16.5703125" style="4" customWidth="1"/>
    <col min="11525" max="11525" width="14.7109375" style="4" customWidth="1"/>
    <col min="11526" max="11526" width="16.5703125" style="4" customWidth="1"/>
    <col min="11527" max="11777" width="9.140625" style="4"/>
    <col min="11778" max="11778" width="37" style="4" customWidth="1"/>
    <col min="11779" max="11779" width="16.140625" style="4" customWidth="1"/>
    <col min="11780" max="11780" width="16.5703125" style="4" customWidth="1"/>
    <col min="11781" max="11781" width="14.7109375" style="4" customWidth="1"/>
    <col min="11782" max="11782" width="16.5703125" style="4" customWidth="1"/>
    <col min="11783" max="12033" width="9.140625" style="4"/>
    <col min="12034" max="12034" width="37" style="4" customWidth="1"/>
    <col min="12035" max="12035" width="16.140625" style="4" customWidth="1"/>
    <col min="12036" max="12036" width="16.5703125" style="4" customWidth="1"/>
    <col min="12037" max="12037" width="14.7109375" style="4" customWidth="1"/>
    <col min="12038" max="12038" width="16.5703125" style="4" customWidth="1"/>
    <col min="12039" max="12289" width="9.140625" style="4"/>
    <col min="12290" max="12290" width="37" style="4" customWidth="1"/>
    <col min="12291" max="12291" width="16.140625" style="4" customWidth="1"/>
    <col min="12292" max="12292" width="16.5703125" style="4" customWidth="1"/>
    <col min="12293" max="12293" width="14.7109375" style="4" customWidth="1"/>
    <col min="12294" max="12294" width="16.5703125" style="4" customWidth="1"/>
    <col min="12295" max="12545" width="9.140625" style="4"/>
    <col min="12546" max="12546" width="37" style="4" customWidth="1"/>
    <col min="12547" max="12547" width="16.140625" style="4" customWidth="1"/>
    <col min="12548" max="12548" width="16.5703125" style="4" customWidth="1"/>
    <col min="12549" max="12549" width="14.7109375" style="4" customWidth="1"/>
    <col min="12550" max="12550" width="16.5703125" style="4" customWidth="1"/>
    <col min="12551" max="12801" width="9.140625" style="4"/>
    <col min="12802" max="12802" width="37" style="4" customWidth="1"/>
    <col min="12803" max="12803" width="16.140625" style="4" customWidth="1"/>
    <col min="12804" max="12804" width="16.5703125" style="4" customWidth="1"/>
    <col min="12805" max="12805" width="14.7109375" style="4" customWidth="1"/>
    <col min="12806" max="12806" width="16.5703125" style="4" customWidth="1"/>
    <col min="12807" max="13057" width="9.140625" style="4"/>
    <col min="13058" max="13058" width="37" style="4" customWidth="1"/>
    <col min="13059" max="13059" width="16.140625" style="4" customWidth="1"/>
    <col min="13060" max="13060" width="16.5703125" style="4" customWidth="1"/>
    <col min="13061" max="13061" width="14.7109375" style="4" customWidth="1"/>
    <col min="13062" max="13062" width="16.5703125" style="4" customWidth="1"/>
    <col min="13063" max="13313" width="9.140625" style="4"/>
    <col min="13314" max="13314" width="37" style="4" customWidth="1"/>
    <col min="13315" max="13315" width="16.140625" style="4" customWidth="1"/>
    <col min="13316" max="13316" width="16.5703125" style="4" customWidth="1"/>
    <col min="13317" max="13317" width="14.7109375" style="4" customWidth="1"/>
    <col min="13318" max="13318" width="16.5703125" style="4" customWidth="1"/>
    <col min="13319" max="13569" width="9.140625" style="4"/>
    <col min="13570" max="13570" width="37" style="4" customWidth="1"/>
    <col min="13571" max="13571" width="16.140625" style="4" customWidth="1"/>
    <col min="13572" max="13572" width="16.5703125" style="4" customWidth="1"/>
    <col min="13573" max="13573" width="14.7109375" style="4" customWidth="1"/>
    <col min="13574" max="13574" width="16.5703125" style="4" customWidth="1"/>
    <col min="13575" max="13825" width="9.140625" style="4"/>
    <col min="13826" max="13826" width="37" style="4" customWidth="1"/>
    <col min="13827" max="13827" width="16.140625" style="4" customWidth="1"/>
    <col min="13828" max="13828" width="16.5703125" style="4" customWidth="1"/>
    <col min="13829" max="13829" width="14.7109375" style="4" customWidth="1"/>
    <col min="13830" max="13830" width="16.5703125" style="4" customWidth="1"/>
    <col min="13831" max="14081" width="9.140625" style="4"/>
    <col min="14082" max="14082" width="37" style="4" customWidth="1"/>
    <col min="14083" max="14083" width="16.140625" style="4" customWidth="1"/>
    <col min="14084" max="14084" width="16.5703125" style="4" customWidth="1"/>
    <col min="14085" max="14085" width="14.7109375" style="4" customWidth="1"/>
    <col min="14086" max="14086" width="16.5703125" style="4" customWidth="1"/>
    <col min="14087" max="14337" width="9.140625" style="4"/>
    <col min="14338" max="14338" width="37" style="4" customWidth="1"/>
    <col min="14339" max="14339" width="16.140625" style="4" customWidth="1"/>
    <col min="14340" max="14340" width="16.5703125" style="4" customWidth="1"/>
    <col min="14341" max="14341" width="14.7109375" style="4" customWidth="1"/>
    <col min="14342" max="14342" width="16.5703125" style="4" customWidth="1"/>
    <col min="14343" max="14593" width="9.140625" style="4"/>
    <col min="14594" max="14594" width="37" style="4" customWidth="1"/>
    <col min="14595" max="14595" width="16.140625" style="4" customWidth="1"/>
    <col min="14596" max="14596" width="16.5703125" style="4" customWidth="1"/>
    <col min="14597" max="14597" width="14.7109375" style="4" customWidth="1"/>
    <col min="14598" max="14598" width="16.5703125" style="4" customWidth="1"/>
    <col min="14599" max="14849" width="9.140625" style="4"/>
    <col min="14850" max="14850" width="37" style="4" customWidth="1"/>
    <col min="14851" max="14851" width="16.140625" style="4" customWidth="1"/>
    <col min="14852" max="14852" width="16.5703125" style="4" customWidth="1"/>
    <col min="14853" max="14853" width="14.7109375" style="4" customWidth="1"/>
    <col min="14854" max="14854" width="16.5703125" style="4" customWidth="1"/>
    <col min="14855" max="15105" width="9.140625" style="4"/>
    <col min="15106" max="15106" width="37" style="4" customWidth="1"/>
    <col min="15107" max="15107" width="16.140625" style="4" customWidth="1"/>
    <col min="15108" max="15108" width="16.5703125" style="4" customWidth="1"/>
    <col min="15109" max="15109" width="14.7109375" style="4" customWidth="1"/>
    <col min="15110" max="15110" width="16.5703125" style="4" customWidth="1"/>
    <col min="15111" max="15361" width="9.140625" style="4"/>
    <col min="15362" max="15362" width="37" style="4" customWidth="1"/>
    <col min="15363" max="15363" width="16.140625" style="4" customWidth="1"/>
    <col min="15364" max="15364" width="16.5703125" style="4" customWidth="1"/>
    <col min="15365" max="15365" width="14.7109375" style="4" customWidth="1"/>
    <col min="15366" max="15366" width="16.5703125" style="4" customWidth="1"/>
    <col min="15367" max="15617" width="9.140625" style="4"/>
    <col min="15618" max="15618" width="37" style="4" customWidth="1"/>
    <col min="15619" max="15619" width="16.140625" style="4" customWidth="1"/>
    <col min="15620" max="15620" width="16.5703125" style="4" customWidth="1"/>
    <col min="15621" max="15621" width="14.7109375" style="4" customWidth="1"/>
    <col min="15622" max="15622" width="16.5703125" style="4" customWidth="1"/>
    <col min="15623" max="15873" width="9.140625" style="4"/>
    <col min="15874" max="15874" width="37" style="4" customWidth="1"/>
    <col min="15875" max="15875" width="16.140625" style="4" customWidth="1"/>
    <col min="15876" max="15876" width="16.5703125" style="4" customWidth="1"/>
    <col min="15877" max="15877" width="14.7109375" style="4" customWidth="1"/>
    <col min="15878" max="15878" width="16.5703125" style="4" customWidth="1"/>
    <col min="15879" max="16129" width="9.140625" style="4"/>
    <col min="16130" max="16130" width="37" style="4" customWidth="1"/>
    <col min="16131" max="16131" width="16.140625" style="4" customWidth="1"/>
    <col min="16132" max="16132" width="16.5703125" style="4" customWidth="1"/>
    <col min="16133" max="16133" width="14.7109375" style="4" customWidth="1"/>
    <col min="16134" max="16134" width="16.5703125" style="4" customWidth="1"/>
    <col min="16135" max="16384" width="9.140625" style="4"/>
  </cols>
  <sheetData>
    <row r="1" spans="1:6" s="6" customFormat="1" ht="15">
      <c r="A1" s="23" t="s">
        <v>225</v>
      </c>
    </row>
    <row r="3" spans="1:6" ht="39.75" customHeight="1">
      <c r="A3" s="678" t="s">
        <v>423</v>
      </c>
      <c r="B3" s="679"/>
      <c r="C3" s="679"/>
      <c r="D3" s="679"/>
      <c r="E3" s="679"/>
      <c r="F3" s="679"/>
    </row>
    <row r="4" spans="1:6" s="196" customFormat="1" ht="13.5" customHeight="1">
      <c r="F4" s="196" t="s">
        <v>592</v>
      </c>
    </row>
    <row r="5" spans="1:6" s="196" customFormat="1" ht="28.5">
      <c r="A5" s="548" t="s">
        <v>52</v>
      </c>
      <c r="B5" s="549"/>
      <c r="C5" s="550" t="s">
        <v>53</v>
      </c>
      <c r="D5" s="551" t="s">
        <v>54</v>
      </c>
      <c r="E5" s="551" t="s">
        <v>55</v>
      </c>
      <c r="F5" s="551" t="s">
        <v>56</v>
      </c>
    </row>
    <row r="6" spans="1:6" s="554" customFormat="1" ht="15">
      <c r="A6" s="116" t="s">
        <v>12</v>
      </c>
      <c r="B6" s="116" t="s">
        <v>57</v>
      </c>
      <c r="C6" s="553">
        <f>C7+C59+C72</f>
        <v>-174845864</v>
      </c>
      <c r="D6" s="553">
        <f>D7+D59+D72</f>
        <v>-60545209.560002089</v>
      </c>
      <c r="E6" s="553">
        <f>E7+E59+E72</f>
        <v>-100314921.51000001</v>
      </c>
      <c r="F6" s="553">
        <f>F7+F59+F72</f>
        <v>-160860131.07000256</v>
      </c>
    </row>
    <row r="7" spans="1:6" s="554" customFormat="1" ht="15">
      <c r="A7" s="116" t="s">
        <v>14</v>
      </c>
      <c r="B7" s="116" t="s">
        <v>58</v>
      </c>
      <c r="C7" s="553">
        <f>C8+C45</f>
        <v>-174845864</v>
      </c>
      <c r="D7" s="553">
        <f>D8+D45</f>
        <v>-211255229.7200017</v>
      </c>
      <c r="E7" s="553">
        <f>E8+E45</f>
        <v>52157115.059999987</v>
      </c>
      <c r="F7" s="553">
        <f>F8+F45</f>
        <v>-159098114.66000223</v>
      </c>
    </row>
    <row r="8" spans="1:6" s="554" customFormat="1" ht="15">
      <c r="A8" s="116" t="s">
        <v>59</v>
      </c>
      <c r="B8" s="116" t="s">
        <v>60</v>
      </c>
      <c r="C8" s="553">
        <f>C9+C24+C27+C31+C32+C35+C36+C43+C44</f>
        <v>3198269606</v>
      </c>
      <c r="D8" s="553">
        <f>D9+D24+D27+D31+D32+D35+D36+D43+D44</f>
        <v>3020437028.599999</v>
      </c>
      <c r="E8" s="553">
        <f>E9+E24+E27+E31+E32+E35+E36+E43+E44</f>
        <v>152472036.56999999</v>
      </c>
      <c r="F8" s="553">
        <f>F9+F24+F27+F31+F32+F35+F36+F43+F44</f>
        <v>3172909065.1699982</v>
      </c>
    </row>
    <row r="9" spans="1:6" s="554" customFormat="1" ht="28.5">
      <c r="A9" s="116" t="s">
        <v>61</v>
      </c>
      <c r="B9" s="117" t="s">
        <v>15</v>
      </c>
      <c r="C9" s="553">
        <f>C10+C11+C12+C13+C14+C16+C19+C20</f>
        <v>2743163642</v>
      </c>
      <c r="D9" s="553">
        <f>SUM(D10:D20)-D16</f>
        <v>2596821415.269999</v>
      </c>
      <c r="E9" s="553">
        <f>SUM(E10:E20)-E16</f>
        <v>137711900.21000001</v>
      </c>
      <c r="F9" s="553">
        <f>SUM(F10:F20)-F16</f>
        <v>2734533315.4799986</v>
      </c>
    </row>
    <row r="10" spans="1:6" s="554" customFormat="1" ht="15">
      <c r="A10" s="118" t="s">
        <v>62</v>
      </c>
      <c r="B10" s="119" t="s">
        <v>35</v>
      </c>
      <c r="C10" s="552">
        <v>2257235855</v>
      </c>
      <c r="D10" s="552">
        <v>2136480074.0399988</v>
      </c>
      <c r="E10" s="552">
        <v>114637059.09</v>
      </c>
      <c r="F10" s="552">
        <f>D10+E10</f>
        <v>2251117133.1299987</v>
      </c>
    </row>
    <row r="11" spans="1:6" s="554" customFormat="1" ht="59.25" customHeight="1">
      <c r="A11" s="118" t="s">
        <v>63</v>
      </c>
      <c r="B11" s="119" t="s">
        <v>37</v>
      </c>
      <c r="C11" s="552">
        <v>318476680</v>
      </c>
      <c r="D11" s="552">
        <v>300766988.7100001</v>
      </c>
      <c r="E11" s="552">
        <v>16728154.529999999</v>
      </c>
      <c r="F11" s="552">
        <f t="shared" ref="F11:F30" si="0">D11+E11</f>
        <v>317495143.24000007</v>
      </c>
    </row>
    <row r="12" spans="1:6" s="554" customFormat="1" ht="60">
      <c r="A12" s="118" t="s">
        <v>64</v>
      </c>
      <c r="B12" s="119" t="s">
        <v>579</v>
      </c>
      <c r="C12" s="552">
        <v>50260</v>
      </c>
      <c r="D12" s="552">
        <v>55565.479999999996</v>
      </c>
      <c r="E12" s="552">
        <v>0</v>
      </c>
      <c r="F12" s="552">
        <f t="shared" si="0"/>
        <v>55565.479999999996</v>
      </c>
    </row>
    <row r="13" spans="1:6" s="554" customFormat="1" ht="15">
      <c r="A13" s="118" t="s">
        <v>65</v>
      </c>
      <c r="B13" s="119" t="s">
        <v>39</v>
      </c>
      <c r="C13" s="552">
        <v>106387598</v>
      </c>
      <c r="D13" s="552">
        <v>100792402.43000001</v>
      </c>
      <c r="E13" s="552">
        <v>5412049.9799999995</v>
      </c>
      <c r="F13" s="552">
        <f t="shared" si="0"/>
        <v>106204452.41000001</v>
      </c>
    </row>
    <row r="14" spans="1:6" s="554" customFormat="1" ht="30">
      <c r="A14" s="118" t="s">
        <v>66</v>
      </c>
      <c r="B14" s="119" t="s">
        <v>41</v>
      </c>
      <c r="C14" s="552">
        <v>18729974</v>
      </c>
      <c r="D14" s="552">
        <v>17461800.610000003</v>
      </c>
      <c r="E14" s="552">
        <v>934636.6100000001</v>
      </c>
      <c r="F14" s="552">
        <f t="shared" si="0"/>
        <v>18396437.220000003</v>
      </c>
    </row>
    <row r="15" spans="1:6" s="554" customFormat="1" ht="30">
      <c r="A15" s="118" t="s">
        <v>67</v>
      </c>
      <c r="B15" s="119" t="s">
        <v>68</v>
      </c>
      <c r="C15" s="552">
        <v>0</v>
      </c>
      <c r="D15" s="552"/>
      <c r="E15" s="552"/>
      <c r="F15" s="552">
        <f t="shared" si="0"/>
        <v>0</v>
      </c>
    </row>
    <row r="16" spans="1:6" s="554" customFormat="1" ht="30">
      <c r="A16" s="118" t="s">
        <v>69</v>
      </c>
      <c r="B16" s="119" t="s">
        <v>70</v>
      </c>
      <c r="C16" s="552">
        <f>SUM(C17:C18)</f>
        <v>40812337</v>
      </c>
      <c r="D16" s="552">
        <f>SUM(D17:D18)</f>
        <v>40278337.999999993</v>
      </c>
      <c r="E16" s="552">
        <f>SUM(E17:E18)</f>
        <v>0</v>
      </c>
      <c r="F16" s="552">
        <f t="shared" si="0"/>
        <v>40278337.999999993</v>
      </c>
    </row>
    <row r="17" spans="1:6" s="554" customFormat="1" ht="30">
      <c r="A17" s="118" t="s">
        <v>71</v>
      </c>
      <c r="B17" s="119" t="s">
        <v>72</v>
      </c>
      <c r="C17" s="552">
        <v>39199539</v>
      </c>
      <c r="D17" s="552">
        <v>38638942.989999995</v>
      </c>
      <c r="E17" s="552">
        <v>0</v>
      </c>
      <c r="F17" s="552">
        <f t="shared" si="0"/>
        <v>38638942.989999995</v>
      </c>
    </row>
    <row r="18" spans="1:6" s="554" customFormat="1" ht="30">
      <c r="A18" s="118" t="s">
        <v>73</v>
      </c>
      <c r="B18" s="119" t="s">
        <v>74</v>
      </c>
      <c r="C18" s="552">
        <v>1612798</v>
      </c>
      <c r="D18" s="552">
        <v>1639395.0100000002</v>
      </c>
      <c r="E18" s="552">
        <v>0</v>
      </c>
      <c r="F18" s="552">
        <f t="shared" si="0"/>
        <v>1639395.0100000002</v>
      </c>
    </row>
    <row r="19" spans="1:6" s="554" customFormat="1" ht="45">
      <c r="A19" s="118" t="s">
        <v>75</v>
      </c>
      <c r="B19" s="119" t="s">
        <v>76</v>
      </c>
      <c r="C19" s="552">
        <v>23063</v>
      </c>
      <c r="D19" s="552">
        <v>25151.89</v>
      </c>
      <c r="E19" s="552">
        <v>0</v>
      </c>
      <c r="F19" s="552">
        <f t="shared" si="0"/>
        <v>25151.89</v>
      </c>
    </row>
    <row r="20" spans="1:6" s="554" customFormat="1" ht="45">
      <c r="A20" s="118" t="s">
        <v>77</v>
      </c>
      <c r="B20" s="119" t="s">
        <v>78</v>
      </c>
      <c r="C20" s="552">
        <f>C21+C22</f>
        <v>1447875</v>
      </c>
      <c r="D20" s="552">
        <f>D21+D22</f>
        <v>961094.11</v>
      </c>
      <c r="E20" s="552"/>
      <c r="F20" s="552">
        <f t="shared" si="0"/>
        <v>961094.11</v>
      </c>
    </row>
    <row r="21" spans="1:6" s="554" customFormat="1" ht="30">
      <c r="A21" s="118" t="s">
        <v>79</v>
      </c>
      <c r="B21" s="119" t="s">
        <v>72</v>
      </c>
      <c r="C21" s="552">
        <v>1282125</v>
      </c>
      <c r="D21" s="552">
        <v>842661.2</v>
      </c>
      <c r="E21" s="552"/>
      <c r="F21" s="552">
        <f t="shared" si="0"/>
        <v>842661.2</v>
      </c>
    </row>
    <row r="22" spans="1:6" s="554" customFormat="1" ht="30">
      <c r="A22" s="118" t="s">
        <v>80</v>
      </c>
      <c r="B22" s="119" t="s">
        <v>81</v>
      </c>
      <c r="C22" s="552">
        <v>165750</v>
      </c>
      <c r="D22" s="552">
        <v>118432.91</v>
      </c>
      <c r="E22" s="552"/>
      <c r="F22" s="552">
        <f t="shared" si="0"/>
        <v>118432.91</v>
      </c>
    </row>
    <row r="23" spans="1:6" s="554" customFormat="1" ht="30">
      <c r="A23" s="118" t="s">
        <v>82</v>
      </c>
      <c r="B23" s="119" t="s">
        <v>83</v>
      </c>
      <c r="C23" s="552"/>
      <c r="D23" s="552"/>
      <c r="E23" s="552"/>
      <c r="F23" s="552">
        <f t="shared" si="0"/>
        <v>0</v>
      </c>
    </row>
    <row r="24" spans="1:6" s="554" customFormat="1" ht="28.5">
      <c r="A24" s="116" t="s">
        <v>84</v>
      </c>
      <c r="B24" s="117" t="s">
        <v>17</v>
      </c>
      <c r="C24" s="553">
        <f>SUM(C25:C26)</f>
        <v>290630654</v>
      </c>
      <c r="D24" s="553">
        <f>SUM(D25:D26)</f>
        <v>275083271.31999993</v>
      </c>
      <c r="E24" s="553">
        <f>SUM(E25:E26)</f>
        <v>14760136.359999998</v>
      </c>
      <c r="F24" s="553">
        <f t="shared" si="0"/>
        <v>289843407.67999995</v>
      </c>
    </row>
    <row r="25" spans="1:6" s="554" customFormat="1" ht="15">
      <c r="A25" s="118" t="s">
        <v>85</v>
      </c>
      <c r="B25" s="119" t="s">
        <v>35</v>
      </c>
      <c r="C25" s="552">
        <v>290630654</v>
      </c>
      <c r="D25" s="552">
        <v>275083271.31999993</v>
      </c>
      <c r="E25" s="552">
        <v>14760136.359999998</v>
      </c>
      <c r="F25" s="552">
        <f t="shared" si="0"/>
        <v>289843407.67999995</v>
      </c>
    </row>
    <row r="26" spans="1:6" s="554" customFormat="1" ht="30">
      <c r="A26" s="118" t="s">
        <v>86</v>
      </c>
      <c r="B26" s="119" t="s">
        <v>68</v>
      </c>
      <c r="C26" s="552"/>
      <c r="D26" s="552"/>
      <c r="E26" s="552"/>
      <c r="F26" s="552">
        <f t="shared" si="0"/>
        <v>0</v>
      </c>
    </row>
    <row r="27" spans="1:6" s="554" customFormat="1" ht="42.75">
      <c r="A27" s="116" t="s">
        <v>87</v>
      </c>
      <c r="B27" s="117" t="s">
        <v>19</v>
      </c>
      <c r="C27" s="553">
        <f>C29+C30</f>
        <v>92207378</v>
      </c>
      <c r="D27" s="553">
        <f>D29+D30</f>
        <v>71804460.670000002</v>
      </c>
      <c r="E27" s="553">
        <f>E29+E30</f>
        <v>0</v>
      </c>
      <c r="F27" s="553">
        <f t="shared" si="0"/>
        <v>71804460.670000002</v>
      </c>
    </row>
    <row r="28" spans="1:6" s="554" customFormat="1" ht="30">
      <c r="A28" s="116"/>
      <c r="B28" s="119" t="s">
        <v>88</v>
      </c>
      <c r="C28" s="552"/>
      <c r="D28" s="552"/>
      <c r="E28" s="552"/>
      <c r="F28" s="552">
        <f t="shared" si="0"/>
        <v>0</v>
      </c>
    </row>
    <row r="29" spans="1:6" s="554" customFormat="1" ht="30">
      <c r="A29" s="118" t="s">
        <v>89</v>
      </c>
      <c r="B29" s="119" t="s">
        <v>90</v>
      </c>
      <c r="C29" s="552">
        <v>87523233</v>
      </c>
      <c r="D29" s="552">
        <v>67824913.700000003</v>
      </c>
      <c r="E29" s="552"/>
      <c r="F29" s="552">
        <f t="shared" si="0"/>
        <v>67824913.700000003</v>
      </c>
    </row>
    <row r="30" spans="1:6" s="554" customFormat="1" ht="45">
      <c r="A30" s="118" t="s">
        <v>91</v>
      </c>
      <c r="B30" s="119" t="s">
        <v>92</v>
      </c>
      <c r="C30" s="552">
        <v>4684145</v>
      </c>
      <c r="D30" s="552">
        <v>3979546.9699999997</v>
      </c>
      <c r="E30" s="552"/>
      <c r="F30" s="552">
        <f t="shared" si="0"/>
        <v>3979546.9699999997</v>
      </c>
    </row>
    <row r="31" spans="1:6" s="554" customFormat="1" ht="28.5">
      <c r="A31" s="116" t="s">
        <v>93</v>
      </c>
      <c r="B31" s="117" t="s">
        <v>21</v>
      </c>
      <c r="C31" s="553">
        <v>1441800</v>
      </c>
      <c r="D31" s="553">
        <v>306118.75</v>
      </c>
      <c r="E31" s="553">
        <v>0</v>
      </c>
      <c r="F31" s="553">
        <f>D31+E31</f>
        <v>306118.75</v>
      </c>
    </row>
    <row r="32" spans="1:6" s="554" customFormat="1" ht="15">
      <c r="A32" s="116" t="s">
        <v>94</v>
      </c>
      <c r="B32" s="117" t="s">
        <v>95</v>
      </c>
      <c r="C32" s="553">
        <f>SUM(C33:C34)</f>
        <v>1378591</v>
      </c>
      <c r="D32" s="553">
        <f>SUM(D33:D34)</f>
        <v>1204860.4499999997</v>
      </c>
      <c r="E32" s="553">
        <f>SUM(E33:E34)</f>
        <v>0</v>
      </c>
      <c r="F32" s="553">
        <f>SUM(F33:F34)</f>
        <v>1204860.4499999997</v>
      </c>
    </row>
    <row r="33" spans="1:6" s="554" customFormat="1" ht="15">
      <c r="A33" s="118" t="s">
        <v>96</v>
      </c>
      <c r="B33" s="119" t="s">
        <v>97</v>
      </c>
      <c r="C33" s="552">
        <v>1378591</v>
      </c>
      <c r="D33" s="552">
        <v>1204860.4499999997</v>
      </c>
      <c r="E33" s="552"/>
      <c r="F33" s="552">
        <f t="shared" ref="F33:F44" si="1">D33+E33</f>
        <v>1204860.4499999997</v>
      </c>
    </row>
    <row r="34" spans="1:6" s="554" customFormat="1" ht="15">
      <c r="A34" s="118" t="s">
        <v>98</v>
      </c>
      <c r="B34" s="119" t="s">
        <v>99</v>
      </c>
      <c r="C34" s="552">
        <v>0</v>
      </c>
      <c r="D34" s="552"/>
      <c r="E34" s="552"/>
      <c r="F34" s="552">
        <f t="shared" si="1"/>
        <v>0</v>
      </c>
    </row>
    <row r="35" spans="1:6" s="554" customFormat="1" ht="42.75">
      <c r="A35" s="116" t="s">
        <v>100</v>
      </c>
      <c r="B35" s="117" t="s">
        <v>24</v>
      </c>
      <c r="C35" s="553">
        <v>56186283</v>
      </c>
      <c r="D35" s="553">
        <v>64533346.100000009</v>
      </c>
      <c r="E35" s="553"/>
      <c r="F35" s="553">
        <f t="shared" si="1"/>
        <v>64533346.100000009</v>
      </c>
    </row>
    <row r="36" spans="1:6" s="554" customFormat="1" ht="42.75">
      <c r="A36" s="116" t="s">
        <v>101</v>
      </c>
      <c r="B36" s="117" t="s">
        <v>102</v>
      </c>
      <c r="C36" s="553">
        <v>13261258</v>
      </c>
      <c r="D36" s="553">
        <v>10609103.929999998</v>
      </c>
      <c r="E36" s="555"/>
      <c r="F36" s="553">
        <f t="shared" si="1"/>
        <v>10609103.929999998</v>
      </c>
    </row>
    <row r="37" spans="1:6" s="554" customFormat="1" ht="42.75">
      <c r="A37" s="116" t="s">
        <v>426</v>
      </c>
      <c r="B37" s="117" t="s">
        <v>427</v>
      </c>
      <c r="C37" s="552">
        <f>SUM(C38:C41)</f>
        <v>7468858</v>
      </c>
      <c r="D37" s="553">
        <f>SUM(D38:D41)</f>
        <v>7507236.6500000004</v>
      </c>
      <c r="E37" s="555"/>
      <c r="F37" s="553">
        <f t="shared" si="1"/>
        <v>7507236.6500000004</v>
      </c>
    </row>
    <row r="38" spans="1:6" s="554" customFormat="1" ht="15">
      <c r="A38" s="556" t="s">
        <v>428</v>
      </c>
      <c r="B38" s="557" t="s">
        <v>429</v>
      </c>
      <c r="C38" s="552">
        <v>694459</v>
      </c>
      <c r="D38" s="552">
        <v>824797.91</v>
      </c>
      <c r="E38" s="558"/>
      <c r="F38" s="552">
        <f t="shared" si="1"/>
        <v>824797.91</v>
      </c>
    </row>
    <row r="39" spans="1:6" s="554" customFormat="1" ht="15">
      <c r="A39" s="556" t="s">
        <v>430</v>
      </c>
      <c r="B39" s="557" t="s">
        <v>431</v>
      </c>
      <c r="C39" s="552">
        <v>139966</v>
      </c>
      <c r="D39" s="552">
        <v>130689.74</v>
      </c>
      <c r="E39" s="558"/>
      <c r="F39" s="552">
        <f t="shared" si="1"/>
        <v>130689.74</v>
      </c>
    </row>
    <row r="40" spans="1:6" s="554" customFormat="1" ht="15">
      <c r="A40" s="556" t="s">
        <v>432</v>
      </c>
      <c r="B40" s="557" t="s">
        <v>433</v>
      </c>
      <c r="C40" s="552">
        <v>3723462</v>
      </c>
      <c r="D40" s="552">
        <v>3724000</v>
      </c>
      <c r="E40" s="558"/>
      <c r="F40" s="552">
        <f t="shared" si="1"/>
        <v>3724000</v>
      </c>
    </row>
    <row r="41" spans="1:6" s="554" customFormat="1" ht="15">
      <c r="A41" s="556" t="s">
        <v>434</v>
      </c>
      <c r="B41" s="557" t="s">
        <v>435</v>
      </c>
      <c r="C41" s="552">
        <v>2910971</v>
      </c>
      <c r="D41" s="552">
        <v>2827749</v>
      </c>
      <c r="E41" s="558"/>
      <c r="F41" s="552">
        <f t="shared" si="1"/>
        <v>2827749</v>
      </c>
    </row>
    <row r="42" spans="1:6" s="554" customFormat="1" ht="15">
      <c r="A42" s="116" t="s">
        <v>436</v>
      </c>
      <c r="B42" s="117" t="s">
        <v>437</v>
      </c>
      <c r="C42" s="553">
        <f>C36-C37</f>
        <v>5792400</v>
      </c>
      <c r="D42" s="553">
        <f>D36-D37</f>
        <v>3101867.2799999975</v>
      </c>
      <c r="E42" s="555"/>
      <c r="F42" s="553">
        <f t="shared" si="1"/>
        <v>3101867.2799999975</v>
      </c>
    </row>
    <row r="43" spans="1:6" s="554" customFormat="1" ht="42.75">
      <c r="A43" s="116" t="s">
        <v>103</v>
      </c>
      <c r="B43" s="120" t="s">
        <v>104</v>
      </c>
      <c r="C43" s="552"/>
      <c r="D43" s="553"/>
      <c r="E43" s="553"/>
      <c r="F43" s="553">
        <f t="shared" si="1"/>
        <v>0</v>
      </c>
    </row>
    <row r="44" spans="1:6" s="554" customFormat="1" ht="28.5">
      <c r="A44" s="116" t="s">
        <v>105</v>
      </c>
      <c r="B44" s="120" t="s">
        <v>31</v>
      </c>
      <c r="C44" s="552"/>
      <c r="D44" s="553">
        <v>74452.11</v>
      </c>
      <c r="E44" s="553"/>
      <c r="F44" s="553">
        <f t="shared" si="1"/>
        <v>74452.11</v>
      </c>
    </row>
    <row r="45" spans="1:6" s="554" customFormat="1" ht="15">
      <c r="A45" s="116" t="s">
        <v>106</v>
      </c>
      <c r="B45" s="117" t="s">
        <v>107</v>
      </c>
      <c r="C45" s="553">
        <f>SUM(C46:C58)-C47-C48-C50</f>
        <v>-3373115470</v>
      </c>
      <c r="D45" s="553">
        <f>SUM(D46:D58)-D47-D48-D50</f>
        <v>-3231692258.3200006</v>
      </c>
      <c r="E45" s="553">
        <f>SUM(E46:E58)-E47-E48-E50</f>
        <v>-100314921.51000001</v>
      </c>
      <c r="F45" s="553">
        <f>SUM(F46:F58)-F47-F48-F50</f>
        <v>-3332007179.8300004</v>
      </c>
    </row>
    <row r="46" spans="1:6" s="554" customFormat="1" ht="15">
      <c r="A46" s="118" t="s">
        <v>108</v>
      </c>
      <c r="B46" s="119" t="s">
        <v>35</v>
      </c>
      <c r="C46" s="559">
        <v>-2441577502</v>
      </c>
      <c r="D46" s="552">
        <v>-2436420714.3400002</v>
      </c>
      <c r="E46" s="552"/>
      <c r="F46" s="552">
        <f>D46+E46</f>
        <v>-2436420714.3400002</v>
      </c>
    </row>
    <row r="47" spans="1:6" s="554" customFormat="1" ht="15">
      <c r="A47" s="118"/>
      <c r="B47" s="119" t="s">
        <v>109</v>
      </c>
      <c r="C47" s="552"/>
      <c r="D47" s="552">
        <v>-704551.64000007231</v>
      </c>
      <c r="E47" s="552"/>
      <c r="F47" s="552">
        <f t="shared" ref="F47:F58" si="2">D47+E47</f>
        <v>-704551.64000007231</v>
      </c>
    </row>
    <row r="48" spans="1:6" s="554" customFormat="1" ht="15">
      <c r="A48" s="118"/>
      <c r="B48" s="119" t="s">
        <v>438</v>
      </c>
      <c r="C48" s="552">
        <v>-52131603</v>
      </c>
      <c r="D48" s="552">
        <v>-66028173.939999998</v>
      </c>
      <c r="E48" s="552"/>
      <c r="F48" s="552">
        <f t="shared" si="2"/>
        <v>-66028173.939999998</v>
      </c>
    </row>
    <row r="49" spans="1:6" s="554" customFormat="1" ht="15">
      <c r="A49" s="118" t="s">
        <v>110</v>
      </c>
      <c r="B49" s="119" t="s">
        <v>37</v>
      </c>
      <c r="C49" s="552">
        <v>-418325297</v>
      </c>
      <c r="D49" s="552">
        <v>-425401210.34000009</v>
      </c>
      <c r="E49" s="552"/>
      <c r="F49" s="552">
        <f t="shared" si="2"/>
        <v>-425401210.34000009</v>
      </c>
    </row>
    <row r="50" spans="1:6" s="554" customFormat="1" ht="15">
      <c r="A50" s="118" t="s">
        <v>111</v>
      </c>
      <c r="B50" s="119" t="s">
        <v>39</v>
      </c>
      <c r="C50" s="552">
        <f>SUM(C51:C53)</f>
        <v>-131740802</v>
      </c>
      <c r="D50" s="552">
        <f>SUM(D51:D53)</f>
        <v>-102814227.09</v>
      </c>
      <c r="E50" s="552">
        <f>SUM(E51:E53)</f>
        <v>0</v>
      </c>
      <c r="F50" s="552">
        <f t="shared" si="2"/>
        <v>-102814227.09</v>
      </c>
    </row>
    <row r="51" spans="1:6" s="554" customFormat="1" ht="15">
      <c r="A51" s="118" t="s">
        <v>112</v>
      </c>
      <c r="B51" s="560" t="s">
        <v>113</v>
      </c>
      <c r="C51" s="552">
        <v>-102778800</v>
      </c>
      <c r="D51" s="552">
        <v>-74286727.090000004</v>
      </c>
      <c r="E51" s="552">
        <v>0</v>
      </c>
      <c r="F51" s="552">
        <f t="shared" si="2"/>
        <v>-74286727.090000004</v>
      </c>
    </row>
    <row r="52" spans="1:6" s="554" customFormat="1" ht="15">
      <c r="A52" s="118" t="s">
        <v>114</v>
      </c>
      <c r="B52" s="561" t="s">
        <v>115</v>
      </c>
      <c r="C52" s="552">
        <v>-28962002</v>
      </c>
      <c r="D52" s="552">
        <v>-28527500</v>
      </c>
      <c r="E52" s="552">
        <v>0</v>
      </c>
      <c r="F52" s="552">
        <f t="shared" si="2"/>
        <v>-28527500</v>
      </c>
    </row>
    <row r="53" spans="1:6" s="554" customFormat="1" ht="45">
      <c r="A53" s="118" t="s">
        <v>116</v>
      </c>
      <c r="B53" s="562" t="s">
        <v>117</v>
      </c>
      <c r="C53" s="552"/>
      <c r="D53" s="552">
        <v>0</v>
      </c>
      <c r="E53" s="552">
        <v>0</v>
      </c>
      <c r="F53" s="552">
        <f t="shared" si="2"/>
        <v>0</v>
      </c>
    </row>
    <row r="54" spans="1:6" s="554" customFormat="1" ht="30">
      <c r="A54" s="118" t="s">
        <v>118</v>
      </c>
      <c r="B54" s="119" t="s">
        <v>41</v>
      </c>
      <c r="C54" s="552">
        <v>-18295560</v>
      </c>
      <c r="D54" s="552">
        <v>-16788437.02</v>
      </c>
      <c r="E54" s="552">
        <v>0</v>
      </c>
      <c r="F54" s="552">
        <f t="shared" si="2"/>
        <v>-16788437.02</v>
      </c>
    </row>
    <row r="55" spans="1:6" s="554" customFormat="1" ht="45">
      <c r="A55" s="118" t="s">
        <v>119</v>
      </c>
      <c r="B55" s="119" t="s">
        <v>120</v>
      </c>
      <c r="C55" s="552"/>
      <c r="D55" s="552"/>
      <c r="E55" s="552"/>
      <c r="F55" s="552">
        <f t="shared" si="2"/>
        <v>0</v>
      </c>
    </row>
    <row r="56" spans="1:6" s="554" customFormat="1" ht="15">
      <c r="A56" s="118" t="s">
        <v>121</v>
      </c>
      <c r="B56" s="119" t="s">
        <v>45</v>
      </c>
      <c r="C56" s="552">
        <v>-140733764</v>
      </c>
      <c r="D56" s="552">
        <v>-137757547.08999997</v>
      </c>
      <c r="E56" s="552">
        <v>0</v>
      </c>
      <c r="F56" s="552">
        <f t="shared" si="2"/>
        <v>-137757547.08999997</v>
      </c>
    </row>
    <row r="57" spans="1:6" s="554" customFormat="1" ht="30">
      <c r="A57" s="118" t="s">
        <v>122</v>
      </c>
      <c r="B57" s="119" t="s">
        <v>123</v>
      </c>
      <c r="C57" s="552">
        <v>-70180142</v>
      </c>
      <c r="D57" s="552">
        <v>-63438417.480000004</v>
      </c>
      <c r="E57" s="552">
        <v>0</v>
      </c>
      <c r="F57" s="552">
        <f t="shared" si="2"/>
        <v>-63438417.480000004</v>
      </c>
    </row>
    <row r="58" spans="1:6" s="554" customFormat="1" ht="15">
      <c r="A58" s="118" t="s">
        <v>124</v>
      </c>
      <c r="B58" s="119" t="s">
        <v>125</v>
      </c>
      <c r="C58" s="552">
        <v>-152262403</v>
      </c>
      <c r="D58" s="552">
        <v>-49071704.960000001</v>
      </c>
      <c r="E58" s="552">
        <v>-100314921.51000001</v>
      </c>
      <c r="F58" s="552">
        <f t="shared" si="2"/>
        <v>-149386626.47</v>
      </c>
    </row>
    <row r="59" spans="1:6" s="554" customFormat="1" ht="15">
      <c r="A59" s="116" t="s">
        <v>16</v>
      </c>
      <c r="B59" s="117" t="s">
        <v>126</v>
      </c>
      <c r="C59" s="552">
        <f>C60+C66</f>
        <v>0</v>
      </c>
      <c r="D59" s="553">
        <f>D60+D66</f>
        <v>150710020.15999961</v>
      </c>
      <c r="E59" s="553">
        <f>E60+E66</f>
        <v>-152472036.56999999</v>
      </c>
      <c r="F59" s="553">
        <f>F60+F66</f>
        <v>-1762016.4100003242</v>
      </c>
    </row>
    <row r="60" spans="1:6" s="554" customFormat="1" ht="15">
      <c r="A60" s="116" t="s">
        <v>127</v>
      </c>
      <c r="B60" s="117" t="s">
        <v>60</v>
      </c>
      <c r="C60" s="553">
        <f>SUM(C61:C65)</f>
        <v>1135790878</v>
      </c>
      <c r="D60" s="553">
        <f>SUM(D61:D65)</f>
        <v>1082289871.0499997</v>
      </c>
      <c r="E60" s="553">
        <f>SUM(E61:E65)</f>
        <v>45650479.43</v>
      </c>
      <c r="F60" s="553">
        <f>SUM(F61:F65)</f>
        <v>1127940350.4799998</v>
      </c>
    </row>
    <row r="61" spans="1:6" s="554" customFormat="1" ht="30">
      <c r="A61" s="121" t="s">
        <v>128</v>
      </c>
      <c r="B61" s="121" t="s">
        <v>424</v>
      </c>
      <c r="C61" s="552">
        <v>141528615</v>
      </c>
      <c r="D61" s="552">
        <v>134653841.44999999</v>
      </c>
      <c r="E61" s="552">
        <v>0</v>
      </c>
      <c r="F61" s="552">
        <f>D61+E61</f>
        <v>134653841.44999999</v>
      </c>
    </row>
    <row r="62" spans="1:6" s="554" customFormat="1" ht="15">
      <c r="A62" s="121" t="s">
        <v>129</v>
      </c>
      <c r="B62" s="121" t="s">
        <v>130</v>
      </c>
      <c r="C62" s="552">
        <v>925110821</v>
      </c>
      <c r="D62" s="552">
        <v>874549528.4599998</v>
      </c>
      <c r="E62" s="552">
        <v>44314113.219999999</v>
      </c>
      <c r="F62" s="552">
        <f>D62+E62</f>
        <v>918863641.67999983</v>
      </c>
    </row>
    <row r="63" spans="1:6" s="554" customFormat="1" ht="30">
      <c r="A63" s="121" t="s">
        <v>131</v>
      </c>
      <c r="B63" s="121" t="s">
        <v>132</v>
      </c>
      <c r="C63" s="552">
        <v>32948940</v>
      </c>
      <c r="D63" s="552">
        <v>32140290.610000007</v>
      </c>
      <c r="E63" s="552">
        <v>1336366.21</v>
      </c>
      <c r="F63" s="552">
        <f>D63+E63</f>
        <v>33476656.820000008</v>
      </c>
    </row>
    <row r="64" spans="1:6" s="554" customFormat="1" ht="60">
      <c r="A64" s="121" t="s">
        <v>133</v>
      </c>
      <c r="B64" s="121" t="s">
        <v>425</v>
      </c>
      <c r="C64" s="552">
        <v>36202502</v>
      </c>
      <c r="D64" s="552">
        <v>37011448.229999997</v>
      </c>
      <c r="E64" s="552"/>
      <c r="F64" s="552">
        <f>D64+E64</f>
        <v>37011448.229999997</v>
      </c>
    </row>
    <row r="65" spans="1:6" s="554" customFormat="1" ht="15">
      <c r="A65" s="121" t="s">
        <v>134</v>
      </c>
      <c r="B65" s="121" t="s">
        <v>135</v>
      </c>
      <c r="C65" s="552"/>
      <c r="D65" s="552">
        <v>3934762.3</v>
      </c>
      <c r="E65" s="552">
        <v>0</v>
      </c>
      <c r="F65" s="552">
        <f>D65+E65</f>
        <v>3934762.3</v>
      </c>
    </row>
    <row r="66" spans="1:6" s="554" customFormat="1" ht="15">
      <c r="A66" s="116" t="s">
        <v>136</v>
      </c>
      <c r="B66" s="117" t="s">
        <v>107</v>
      </c>
      <c r="C66" s="553">
        <f>SUM(C67:C71)</f>
        <v>-1135790878</v>
      </c>
      <c r="D66" s="553">
        <f>SUM(D67:D71)</f>
        <v>-931579850.8900001</v>
      </c>
      <c r="E66" s="553">
        <f>SUM(E67:E71)</f>
        <v>-198122516</v>
      </c>
      <c r="F66" s="553">
        <f>SUM(F67:F71)</f>
        <v>-1129702366.8900001</v>
      </c>
    </row>
    <row r="67" spans="1:6" s="554" customFormat="1" ht="30">
      <c r="A67" s="118" t="s">
        <v>137</v>
      </c>
      <c r="B67" s="119" t="s">
        <v>138</v>
      </c>
      <c r="C67" s="552">
        <v>-141528615</v>
      </c>
      <c r="D67" s="552">
        <v>-134654536.48000002</v>
      </c>
      <c r="E67" s="552">
        <v>0</v>
      </c>
      <c r="F67" s="552">
        <f t="shared" ref="F67:F72" si="3">D67+E67</f>
        <v>-134654536.48000002</v>
      </c>
    </row>
    <row r="68" spans="1:6" s="554" customFormat="1" ht="30">
      <c r="A68" s="118" t="s">
        <v>139</v>
      </c>
      <c r="B68" s="121" t="s">
        <v>43</v>
      </c>
      <c r="C68" s="552">
        <v>-925110821</v>
      </c>
      <c r="D68" s="552">
        <v>-726700000</v>
      </c>
      <c r="E68" s="552">
        <v>-198122516</v>
      </c>
      <c r="F68" s="552">
        <f t="shared" si="3"/>
        <v>-924822516</v>
      </c>
    </row>
    <row r="69" spans="1:6" s="554" customFormat="1" ht="45">
      <c r="A69" s="118" t="s">
        <v>140</v>
      </c>
      <c r="B69" s="119" t="s">
        <v>141</v>
      </c>
      <c r="C69" s="552">
        <v>-32948940</v>
      </c>
      <c r="D69" s="552">
        <v>-31173869.489999998</v>
      </c>
      <c r="E69" s="552"/>
      <c r="F69" s="552">
        <f t="shared" si="3"/>
        <v>-31173869.489999998</v>
      </c>
    </row>
    <row r="70" spans="1:6" s="554" customFormat="1" ht="60">
      <c r="A70" s="118" t="s">
        <v>142</v>
      </c>
      <c r="B70" s="119" t="s">
        <v>143</v>
      </c>
      <c r="C70" s="552">
        <v>-36202502</v>
      </c>
      <c r="D70" s="552">
        <v>-37011448.230000004</v>
      </c>
      <c r="E70" s="552"/>
      <c r="F70" s="552">
        <f t="shared" si="3"/>
        <v>-37011448.230000004</v>
      </c>
    </row>
    <row r="71" spans="1:6" s="554" customFormat="1" ht="15">
      <c r="A71" s="118" t="s">
        <v>144</v>
      </c>
      <c r="B71" s="119" t="s">
        <v>145</v>
      </c>
      <c r="C71" s="552"/>
      <c r="D71" s="552">
        <v>-2039996.6900000004</v>
      </c>
      <c r="E71" s="552">
        <v>0</v>
      </c>
      <c r="F71" s="552">
        <f t="shared" si="3"/>
        <v>-2039996.6900000004</v>
      </c>
    </row>
    <row r="72" spans="1:6" s="554" customFormat="1" ht="28.5">
      <c r="A72" s="116" t="s">
        <v>18</v>
      </c>
      <c r="B72" s="117" t="s">
        <v>146</v>
      </c>
      <c r="C72" s="552"/>
      <c r="D72" s="552"/>
      <c r="E72" s="552"/>
      <c r="F72" s="552">
        <f t="shared" si="3"/>
        <v>0</v>
      </c>
    </row>
    <row r="73" spans="1:6" s="554" customFormat="1" ht="15">
      <c r="A73" s="116" t="s">
        <v>32</v>
      </c>
      <c r="B73" s="117" t="s">
        <v>147</v>
      </c>
      <c r="C73" s="553">
        <f>SUM(C74:C79)</f>
        <v>-4489979</v>
      </c>
      <c r="D73" s="553">
        <f>SUM(D74:D79)</f>
        <v>-1943575.8000000003</v>
      </c>
      <c r="E73" s="553">
        <f>SUM(E74:E79)</f>
        <v>0</v>
      </c>
      <c r="F73" s="553">
        <f>SUM(F74:F79)</f>
        <v>-1943575.8000000003</v>
      </c>
    </row>
    <row r="74" spans="1:6" s="554" customFormat="1" ht="15">
      <c r="A74" s="118" t="s">
        <v>34</v>
      </c>
      <c r="B74" s="119" t="s">
        <v>148</v>
      </c>
      <c r="C74" s="552">
        <v>-3061863</v>
      </c>
      <c r="D74" s="552">
        <v>-219178.78999999998</v>
      </c>
      <c r="E74" s="552">
        <v>0</v>
      </c>
      <c r="F74" s="552">
        <f t="shared" ref="F74:F79" si="4">D74+E74</f>
        <v>-219178.78999999998</v>
      </c>
    </row>
    <row r="75" spans="1:6" s="554" customFormat="1" ht="30">
      <c r="A75" s="118" t="s">
        <v>36</v>
      </c>
      <c r="B75" s="119" t="s">
        <v>149</v>
      </c>
      <c r="C75" s="552"/>
      <c r="D75" s="552">
        <v>0</v>
      </c>
      <c r="E75" s="552">
        <v>0</v>
      </c>
      <c r="F75" s="552">
        <f t="shared" si="4"/>
        <v>0</v>
      </c>
    </row>
    <row r="76" spans="1:6" s="554" customFormat="1" ht="30">
      <c r="A76" s="118" t="s">
        <v>38</v>
      </c>
      <c r="B76" s="119" t="s">
        <v>150</v>
      </c>
      <c r="C76" s="552">
        <v>-1994613</v>
      </c>
      <c r="D76" s="552">
        <v>-1731590.7100000002</v>
      </c>
      <c r="E76" s="552">
        <v>0</v>
      </c>
      <c r="F76" s="552">
        <f t="shared" si="4"/>
        <v>-1731590.7100000002</v>
      </c>
    </row>
    <row r="77" spans="1:6" s="554" customFormat="1" ht="30">
      <c r="A77" s="118" t="s">
        <v>40</v>
      </c>
      <c r="B77" s="119" t="s">
        <v>151</v>
      </c>
      <c r="C77" s="552">
        <v>566497</v>
      </c>
      <c r="D77" s="552">
        <v>7193.7</v>
      </c>
      <c r="E77" s="552">
        <v>0</v>
      </c>
      <c r="F77" s="552">
        <f t="shared" si="4"/>
        <v>7193.7</v>
      </c>
    </row>
    <row r="78" spans="1:6" s="554" customFormat="1" ht="30">
      <c r="A78" s="118" t="s">
        <v>42</v>
      </c>
      <c r="B78" s="119" t="s">
        <v>152</v>
      </c>
      <c r="C78" s="552">
        <v>0</v>
      </c>
      <c r="D78" s="552">
        <v>0</v>
      </c>
      <c r="E78" s="552">
        <v>0</v>
      </c>
      <c r="F78" s="552">
        <f t="shared" si="4"/>
        <v>0</v>
      </c>
    </row>
    <row r="79" spans="1:6" s="554" customFormat="1" ht="30">
      <c r="A79" s="118" t="s">
        <v>44</v>
      </c>
      <c r="B79" s="119" t="s">
        <v>153</v>
      </c>
      <c r="C79" s="552">
        <v>0</v>
      </c>
      <c r="D79" s="552">
        <v>0</v>
      </c>
      <c r="E79" s="552">
        <v>0</v>
      </c>
      <c r="F79" s="552">
        <f t="shared" si="4"/>
        <v>0</v>
      </c>
    </row>
    <row r="80" spans="1:6" s="554" customFormat="1" ht="15">
      <c r="A80" s="116" t="s">
        <v>50</v>
      </c>
      <c r="B80" s="117" t="s">
        <v>154</v>
      </c>
      <c r="C80" s="563">
        <f>SUM(C81:C88)</f>
        <v>181345006</v>
      </c>
      <c r="D80" s="553">
        <f>SUM(D81:D88)</f>
        <v>85502994.430000022</v>
      </c>
      <c r="E80" s="553">
        <f>SUM(E81:E88)</f>
        <v>100314921.51000001</v>
      </c>
      <c r="F80" s="553">
        <f>SUM(F81:F88)</f>
        <v>185817915.94000003</v>
      </c>
    </row>
    <row r="81" spans="1:6" s="554" customFormat="1" ht="15">
      <c r="A81" s="118" t="s">
        <v>155</v>
      </c>
      <c r="B81" s="119" t="s">
        <v>156</v>
      </c>
      <c r="C81" s="552">
        <v>0</v>
      </c>
      <c r="D81" s="552">
        <v>0</v>
      </c>
      <c r="E81" s="552">
        <v>0</v>
      </c>
      <c r="F81" s="552">
        <f t="shared" ref="F81:F88" si="5">D81+E81</f>
        <v>0</v>
      </c>
    </row>
    <row r="82" spans="1:6" s="554" customFormat="1" ht="15">
      <c r="A82" s="118" t="s">
        <v>157</v>
      </c>
      <c r="B82" s="119" t="s">
        <v>158</v>
      </c>
      <c r="C82" s="552">
        <v>-50683503</v>
      </c>
      <c r="D82" s="552">
        <v>-78197405.010000005</v>
      </c>
      <c r="E82" s="552">
        <v>0</v>
      </c>
      <c r="F82" s="552">
        <f t="shared" si="5"/>
        <v>-78197405.010000005</v>
      </c>
    </row>
    <row r="83" spans="1:6" s="554" customFormat="1" ht="15">
      <c r="A83" s="118" t="s">
        <v>159</v>
      </c>
      <c r="B83" s="119" t="s">
        <v>160</v>
      </c>
      <c r="C83" s="552">
        <v>439227496</v>
      </c>
      <c r="D83" s="552">
        <v>370991380.63</v>
      </c>
      <c r="E83" s="552">
        <v>100314921.51000001</v>
      </c>
      <c r="F83" s="552">
        <f t="shared" si="5"/>
        <v>471306302.13999999</v>
      </c>
    </row>
    <row r="84" spans="1:6" s="554" customFormat="1" ht="15">
      <c r="A84" s="118" t="s">
        <v>161</v>
      </c>
      <c r="B84" s="119" t="s">
        <v>162</v>
      </c>
      <c r="C84" s="552">
        <v>-207198987</v>
      </c>
      <c r="D84" s="552">
        <v>-207198987.13999999</v>
      </c>
      <c r="E84" s="552"/>
      <c r="F84" s="552">
        <f t="shared" si="5"/>
        <v>-207198987.13999999</v>
      </c>
    </row>
    <row r="85" spans="1:6" s="554" customFormat="1" ht="30">
      <c r="A85" s="118" t="s">
        <v>163</v>
      </c>
      <c r="B85" s="119" t="s">
        <v>164</v>
      </c>
      <c r="C85" s="552">
        <v>0</v>
      </c>
      <c r="D85" s="552">
        <v>0</v>
      </c>
      <c r="E85" s="552">
        <v>0</v>
      </c>
      <c r="F85" s="552">
        <f t="shared" si="5"/>
        <v>0</v>
      </c>
    </row>
    <row r="86" spans="1:6" s="554" customFormat="1" ht="15">
      <c r="A86" s="118" t="s">
        <v>165</v>
      </c>
      <c r="B86" s="119" t="s">
        <v>166</v>
      </c>
      <c r="C86" s="552"/>
      <c r="D86" s="552"/>
      <c r="E86" s="552">
        <v>0</v>
      </c>
      <c r="F86" s="552">
        <f t="shared" si="5"/>
        <v>0</v>
      </c>
    </row>
    <row r="87" spans="1:6" s="554" customFormat="1" ht="15">
      <c r="A87" s="118" t="s">
        <v>167</v>
      </c>
      <c r="B87" s="119" t="s">
        <v>168</v>
      </c>
      <c r="C87" s="552"/>
      <c r="D87" s="552">
        <v>51414.649999999994</v>
      </c>
      <c r="E87" s="552"/>
      <c r="F87" s="552">
        <f t="shared" si="5"/>
        <v>51414.649999999994</v>
      </c>
    </row>
    <row r="88" spans="1:6" s="564" customFormat="1" ht="15">
      <c r="A88" s="118" t="s">
        <v>169</v>
      </c>
      <c r="B88" s="119" t="s">
        <v>170</v>
      </c>
      <c r="C88" s="552"/>
      <c r="D88" s="552">
        <v>-143408.70000000001</v>
      </c>
      <c r="E88" s="552">
        <v>0</v>
      </c>
      <c r="F88" s="552">
        <f t="shared" si="5"/>
        <v>-143408.70000000001</v>
      </c>
    </row>
    <row r="89" spans="1:6" s="564" customFormat="1" ht="14.25">
      <c r="A89" s="116" t="s">
        <v>171</v>
      </c>
      <c r="B89" s="116" t="s">
        <v>172</v>
      </c>
      <c r="C89" s="553">
        <f>C6+C73+C80</f>
        <v>2009163</v>
      </c>
      <c r="D89" s="553">
        <f>D6+D73+D80</f>
        <v>23014209.069997936</v>
      </c>
      <c r="E89" s="553">
        <f>E6+E73+E80</f>
        <v>0</v>
      </c>
      <c r="F89" s="553">
        <f>F6+F73+F80</f>
        <v>23014209.06999746</v>
      </c>
    </row>
    <row r="90" spans="1:6" s="554" customFormat="1" ht="28.5">
      <c r="A90" s="116" t="s">
        <v>173</v>
      </c>
      <c r="B90" s="117" t="s">
        <v>174</v>
      </c>
      <c r="C90" s="552"/>
      <c r="D90" s="553"/>
      <c r="E90" s="553"/>
      <c r="F90" s="553"/>
    </row>
    <row r="91" spans="1:6" s="554" customFormat="1" ht="15">
      <c r="A91" s="118" t="s">
        <v>175</v>
      </c>
      <c r="B91" s="118" t="s">
        <v>176</v>
      </c>
      <c r="C91" s="552">
        <v>48076923</v>
      </c>
      <c r="D91" s="552">
        <v>146166848.01000002</v>
      </c>
      <c r="E91" s="552"/>
      <c r="F91" s="552">
        <f>D91</f>
        <v>146166848.01000002</v>
      </c>
    </row>
    <row r="92" spans="1:6" s="554" customFormat="1" ht="15">
      <c r="A92" s="118" t="s">
        <v>177</v>
      </c>
      <c r="B92" s="118" t="s">
        <v>178</v>
      </c>
      <c r="C92" s="553">
        <f>C93-C91</f>
        <v>2009163</v>
      </c>
      <c r="D92" s="553">
        <f>D93-D91</f>
        <v>23014209.069999993</v>
      </c>
      <c r="E92" s="553">
        <f>E93-E91</f>
        <v>0</v>
      </c>
      <c r="F92" s="553">
        <f>F93-F91</f>
        <v>23014209.069999993</v>
      </c>
    </row>
    <row r="93" spans="1:6" s="554" customFormat="1" ht="15">
      <c r="A93" s="118" t="s">
        <v>179</v>
      </c>
      <c r="B93" s="118" t="s">
        <v>180</v>
      </c>
      <c r="C93" s="552">
        <v>50086086</v>
      </c>
      <c r="D93" s="552">
        <v>169181057.08000001</v>
      </c>
      <c r="E93" s="552"/>
      <c r="F93" s="552">
        <f>D93</f>
        <v>169181057.08000001</v>
      </c>
    </row>
    <row r="94" spans="1:6" s="554" customFormat="1" ht="15">
      <c r="A94" s="118"/>
      <c r="B94" s="118" t="s">
        <v>181</v>
      </c>
      <c r="C94" s="552"/>
      <c r="D94" s="552"/>
      <c r="E94" s="552"/>
      <c r="F94" s="552"/>
    </row>
    <row r="95" spans="1:6" s="554" customFormat="1" ht="15">
      <c r="A95" s="118" t="s">
        <v>182</v>
      </c>
      <c r="B95" s="118" t="s">
        <v>176</v>
      </c>
      <c r="C95" s="552"/>
      <c r="D95" s="552">
        <v>13354704.189999999</v>
      </c>
      <c r="E95" s="552"/>
      <c r="F95" s="552">
        <f>D95</f>
        <v>13354704.189999999</v>
      </c>
    </row>
    <row r="96" spans="1:6" s="554" customFormat="1" ht="15">
      <c r="A96" s="118" t="s">
        <v>183</v>
      </c>
      <c r="B96" s="118" t="s">
        <v>178</v>
      </c>
      <c r="C96" s="552">
        <f>C97-C95</f>
        <v>0</v>
      </c>
      <c r="D96" s="552">
        <f>D97-D95</f>
        <v>1660577.8800000008</v>
      </c>
      <c r="E96" s="552">
        <f>E97-E95</f>
        <v>0</v>
      </c>
      <c r="F96" s="552">
        <f>F97-F95</f>
        <v>1660577.8800000008</v>
      </c>
    </row>
    <row r="97" spans="1:6" s="554" customFormat="1" ht="15">
      <c r="A97" s="118" t="s">
        <v>184</v>
      </c>
      <c r="B97" s="118" t="s">
        <v>185</v>
      </c>
      <c r="C97" s="552"/>
      <c r="D97" s="552">
        <v>15015282.07</v>
      </c>
      <c r="E97" s="552"/>
      <c r="F97" s="552">
        <f>D97</f>
        <v>15015282.07</v>
      </c>
    </row>
    <row r="98" spans="1:6" ht="14.25">
      <c r="A98" s="116" t="s">
        <v>186</v>
      </c>
      <c r="B98" s="116" t="s">
        <v>187</v>
      </c>
      <c r="C98" s="553"/>
      <c r="D98" s="552"/>
      <c r="E98" s="552"/>
      <c r="F98" s="552"/>
    </row>
    <row r="99" spans="1:6">
      <c r="D99" s="4"/>
    </row>
    <row r="100" spans="1:6">
      <c r="D100" s="4"/>
    </row>
    <row r="101" spans="1:6">
      <c r="D101" s="4"/>
    </row>
  </sheetData>
  <mergeCells count="1">
    <mergeCell ref="A3:F3"/>
  </mergeCells>
  <hyperlinks>
    <hyperlink ref="A1" location="turinys!A1" display="Grįžti į turinį"/>
  </hyperlink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E69"/>
  <sheetViews>
    <sheetView workbookViewId="0">
      <selection activeCell="L14" sqref="L14"/>
    </sheetView>
  </sheetViews>
  <sheetFormatPr defaultRowHeight="15"/>
  <sheetData>
    <row r="1" spans="1:3" s="6" customFormat="1">
      <c r="A1" s="23" t="s">
        <v>225</v>
      </c>
    </row>
    <row r="2" spans="1:3" ht="6" customHeight="1">
      <c r="B2" s="149"/>
    </row>
    <row r="3" spans="1:3">
      <c r="A3" s="196" t="s">
        <v>483</v>
      </c>
      <c r="B3" s="197"/>
      <c r="C3" s="196"/>
    </row>
    <row r="4" spans="1:3">
      <c r="A4" s="198"/>
      <c r="B4" s="199" t="s">
        <v>484</v>
      </c>
      <c r="C4" s="199" t="s">
        <v>485</v>
      </c>
    </row>
    <row r="5" spans="1:3">
      <c r="A5" s="198" t="s">
        <v>486</v>
      </c>
      <c r="B5" s="199">
        <f>[6]Suvestinė!E34</f>
        <v>1236</v>
      </c>
      <c r="C5" s="199">
        <f>[6]Suvestinė!F34</f>
        <v>1627</v>
      </c>
    </row>
    <row r="6" spans="1:3">
      <c r="A6" s="198" t="s">
        <v>487</v>
      </c>
      <c r="B6" s="199">
        <f>[6]Suvestinė!E76</f>
        <v>588</v>
      </c>
      <c r="C6" s="199">
        <f>[6]Suvestinė!F76</f>
        <v>20</v>
      </c>
    </row>
    <row r="7" spans="1:3">
      <c r="A7" s="198" t="s">
        <v>488</v>
      </c>
      <c r="B7" s="199">
        <f>[6]Suvestinė!E10</f>
        <v>3358</v>
      </c>
      <c r="C7" s="199">
        <f>[6]Suvestinė!F10</f>
        <v>2173</v>
      </c>
    </row>
    <row r="8" spans="1:3">
      <c r="A8" s="198" t="s">
        <v>489</v>
      </c>
      <c r="B8" s="199">
        <f>[6]Suvestinė!E7+[6]Suvestinė!E17</f>
        <v>275</v>
      </c>
      <c r="C8" s="199">
        <f>[6]Suvestinė!F7+[6]Suvestinė!F17</f>
        <v>13372</v>
      </c>
    </row>
    <row r="9" spans="1:3">
      <c r="A9" s="198" t="s">
        <v>490</v>
      </c>
      <c r="B9" s="199">
        <f>[6]Suvestinė!E90</f>
        <v>689</v>
      </c>
      <c r="C9" s="199">
        <f>[6]Suvestinė!F90</f>
        <v>3647</v>
      </c>
    </row>
    <row r="10" spans="1:3">
      <c r="A10" s="198" t="s">
        <v>491</v>
      </c>
      <c r="B10" s="199">
        <f>[6]Suvestinė!H96</f>
        <v>0</v>
      </c>
      <c r="C10" s="199">
        <f>[6]Suvestinė!I96</f>
        <v>0</v>
      </c>
    </row>
    <row r="11" spans="1:3">
      <c r="A11" s="198" t="s">
        <v>56</v>
      </c>
      <c r="B11" s="199">
        <f>SUM(B5:B10)</f>
        <v>6146</v>
      </c>
      <c r="C11" s="199">
        <f>SUM(C5:C10)</f>
        <v>20839</v>
      </c>
    </row>
    <row r="12" spans="1:3">
      <c r="B12" s="149"/>
    </row>
    <row r="13" spans="1:3">
      <c r="B13" s="149"/>
    </row>
    <row r="14" spans="1:3">
      <c r="B14" s="149"/>
    </row>
    <row r="15" spans="1:3">
      <c r="B15" s="149"/>
    </row>
    <row r="16" spans="1:3">
      <c r="B16" s="149"/>
    </row>
    <row r="17" spans="1:5">
      <c r="B17" s="149"/>
    </row>
    <row r="18" spans="1:5">
      <c r="B18" s="149"/>
    </row>
    <row r="19" spans="1:5">
      <c r="B19" s="149"/>
    </row>
    <row r="20" spans="1:5">
      <c r="A20" s="196" t="s">
        <v>492</v>
      </c>
      <c r="B20" s="197"/>
      <c r="C20" s="196"/>
      <c r="D20" s="196"/>
      <c r="E20" s="196"/>
    </row>
    <row r="21" spans="1:5" ht="195">
      <c r="A21" s="198"/>
      <c r="B21" s="200" t="s">
        <v>493</v>
      </c>
      <c r="C21" s="200" t="s">
        <v>494</v>
      </c>
      <c r="D21" s="196"/>
      <c r="E21" s="196"/>
    </row>
    <row r="22" spans="1:5">
      <c r="A22" s="198" t="s">
        <v>486</v>
      </c>
      <c r="B22" s="201">
        <v>0.29726445430734133</v>
      </c>
      <c r="C22" s="201">
        <v>0.60356116573059948</v>
      </c>
      <c r="D22" s="196"/>
      <c r="E22" s="196"/>
    </row>
    <row r="23" spans="1:5">
      <c r="A23" s="198" t="s">
        <v>487</v>
      </c>
      <c r="B23" s="201">
        <v>0.12025168610806002</v>
      </c>
      <c r="C23" s="201">
        <v>2.919333804169516E-2</v>
      </c>
      <c r="D23" s="196"/>
      <c r="E23" s="196"/>
    </row>
    <row r="24" spans="1:5">
      <c r="A24" s="198" t="s">
        <v>488</v>
      </c>
      <c r="B24" s="201">
        <v>0.15181433676436237</v>
      </c>
      <c r="C24" s="201">
        <v>0</v>
      </c>
      <c r="D24" s="196"/>
      <c r="E24" s="196"/>
    </row>
    <row r="25" spans="1:5">
      <c r="A25" s="198" t="s">
        <v>489</v>
      </c>
      <c r="B25" s="201">
        <v>4.9186642346287085E-2</v>
      </c>
      <c r="C25" s="201">
        <v>1.1374804285356621E-2</v>
      </c>
      <c r="D25" s="196"/>
      <c r="E25" s="196"/>
    </row>
    <row r="26" spans="1:5">
      <c r="A26" s="198" t="s">
        <v>490</v>
      </c>
      <c r="B26" s="201">
        <v>8.4516632455778496E-3</v>
      </c>
      <c r="C26" s="201">
        <v>0.1470369083252058</v>
      </c>
      <c r="D26" s="196"/>
      <c r="E26" s="196"/>
    </row>
    <row r="27" spans="1:5">
      <c r="A27" s="198" t="s">
        <v>491</v>
      </c>
      <c r="B27" s="201">
        <v>0.37303121722837135</v>
      </c>
      <c r="C27" s="201">
        <v>0.20883378361714292</v>
      </c>
      <c r="D27" s="196"/>
      <c r="E27" s="196"/>
    </row>
    <row r="28" spans="1:5">
      <c r="B28" s="149"/>
    </row>
    <row r="29" spans="1:5">
      <c r="B29" s="149"/>
    </row>
    <row r="30" spans="1:5">
      <c r="B30" s="149"/>
    </row>
    <row r="31" spans="1:5">
      <c r="B31" s="149"/>
    </row>
    <row r="32" spans="1:5">
      <c r="B32" s="149"/>
    </row>
    <row r="33" spans="2:2">
      <c r="B33" s="149"/>
    </row>
    <row r="34" spans="2:2">
      <c r="B34" s="149"/>
    </row>
    <row r="35" spans="2:2">
      <c r="B35" s="149"/>
    </row>
    <row r="36" spans="2:2">
      <c r="B36" s="149"/>
    </row>
    <row r="37" spans="2:2">
      <c r="B37" s="149"/>
    </row>
    <row r="38" spans="2:2">
      <c r="B38" s="149"/>
    </row>
    <row r="39" spans="2:2">
      <c r="B39" s="149"/>
    </row>
    <row r="40" spans="2:2">
      <c r="B40" s="149"/>
    </row>
    <row r="41" spans="2:2">
      <c r="B41" s="149"/>
    </row>
    <row r="42" spans="2:2">
      <c r="B42" s="149"/>
    </row>
    <row r="43" spans="2:2">
      <c r="B43" s="149"/>
    </row>
    <row r="44" spans="2:2">
      <c r="B44" s="149"/>
    </row>
    <row r="45" spans="2:2">
      <c r="B45" s="149"/>
    </row>
    <row r="46" spans="2:2">
      <c r="B46" s="149"/>
    </row>
    <row r="47" spans="2:2">
      <c r="B47" s="149"/>
    </row>
    <row r="48" spans="2:2">
      <c r="B48" s="149"/>
    </row>
    <row r="49" spans="2:2">
      <c r="B49" s="149"/>
    </row>
    <row r="50" spans="2:2">
      <c r="B50" s="149"/>
    </row>
    <row r="51" spans="2:2">
      <c r="B51" s="149"/>
    </row>
    <row r="52" spans="2:2">
      <c r="B52" s="149"/>
    </row>
    <row r="53" spans="2:2">
      <c r="B53" s="149"/>
    </row>
    <row r="54" spans="2:2">
      <c r="B54" s="149"/>
    </row>
    <row r="55" spans="2:2">
      <c r="B55" s="149"/>
    </row>
    <row r="56" spans="2:2">
      <c r="B56" s="149"/>
    </row>
    <row r="57" spans="2:2">
      <c r="B57" s="149"/>
    </row>
    <row r="58" spans="2:2">
      <c r="B58" s="149"/>
    </row>
    <row r="59" spans="2:2">
      <c r="B59" s="149"/>
    </row>
    <row r="60" spans="2:2">
      <c r="B60" s="149"/>
    </row>
    <row r="61" spans="2:2">
      <c r="B61" s="149"/>
    </row>
    <row r="62" spans="2:2">
      <c r="B62" s="149"/>
    </row>
    <row r="63" spans="2:2">
      <c r="B63" s="149"/>
    </row>
    <row r="64" spans="2:2">
      <c r="B64" s="149"/>
    </row>
    <row r="65" spans="2:2">
      <c r="B65" s="149"/>
    </row>
    <row r="66" spans="2:2">
      <c r="B66" s="149"/>
    </row>
    <row r="67" spans="2:2">
      <c r="B67" s="149"/>
    </row>
    <row r="68" spans="2:2">
      <c r="B68" s="149"/>
    </row>
    <row r="69" spans="2:2">
      <c r="B69" s="149"/>
    </row>
  </sheetData>
  <hyperlinks>
    <hyperlink ref="A1" location="turinys!A1" display="Grįžti į turinį"/>
  </hyperlink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J139"/>
  <sheetViews>
    <sheetView zoomScaleNormal="100" workbookViewId="0">
      <selection activeCell="O33" sqref="O33"/>
    </sheetView>
  </sheetViews>
  <sheetFormatPr defaultRowHeight="12.75"/>
  <cols>
    <col min="1" max="1" width="13.5703125" style="6" customWidth="1"/>
    <col min="2" max="16384" width="9.140625" style="6"/>
  </cols>
  <sheetData>
    <row r="1" spans="1:10" ht="15">
      <c r="A1" s="23" t="s">
        <v>225</v>
      </c>
    </row>
    <row r="3" spans="1:10">
      <c r="A3" s="150"/>
      <c r="B3" s="150"/>
      <c r="C3" s="150"/>
      <c r="D3" s="150"/>
      <c r="E3" s="150"/>
      <c r="F3" s="150"/>
      <c r="G3" s="150"/>
      <c r="H3" s="150"/>
      <c r="I3" s="150"/>
      <c r="J3" s="150"/>
    </row>
    <row r="4" spans="1:10">
      <c r="A4" s="150"/>
      <c r="B4" s="150"/>
      <c r="C4" s="150"/>
      <c r="D4" s="150"/>
      <c r="E4" s="150"/>
      <c r="F4" s="150"/>
      <c r="G4" s="150"/>
      <c r="H4" s="150"/>
      <c r="I4" s="150"/>
      <c r="J4" s="150"/>
    </row>
    <row r="5" spans="1:10">
      <c r="A5" s="150"/>
      <c r="B5" s="150"/>
      <c r="C5" s="150"/>
      <c r="D5" s="150"/>
      <c r="E5" s="150"/>
      <c r="F5" s="150"/>
      <c r="G5" s="150"/>
      <c r="H5" s="150"/>
      <c r="I5" s="150"/>
      <c r="J5" s="150"/>
    </row>
    <row r="6" spans="1:10">
      <c r="A6" s="150"/>
      <c r="B6" s="150"/>
      <c r="C6" s="150"/>
      <c r="D6" s="150"/>
      <c r="E6" s="150"/>
      <c r="F6" s="150"/>
      <c r="G6" s="150"/>
      <c r="H6" s="150"/>
      <c r="I6" s="150"/>
      <c r="J6" s="150"/>
    </row>
    <row r="7" spans="1:10">
      <c r="A7" s="150"/>
      <c r="B7" s="150"/>
      <c r="C7" s="150"/>
      <c r="D7" s="150"/>
      <c r="E7" s="150"/>
      <c r="F7" s="150"/>
      <c r="G7" s="150"/>
      <c r="H7" s="150"/>
      <c r="I7" s="150"/>
      <c r="J7" s="150"/>
    </row>
    <row r="8" spans="1:10">
      <c r="A8" s="150"/>
      <c r="B8" s="150"/>
      <c r="C8" s="150"/>
      <c r="D8" s="150"/>
      <c r="E8" s="150"/>
      <c r="F8" s="150"/>
      <c r="G8" s="150"/>
      <c r="H8" s="150"/>
      <c r="I8" s="150"/>
      <c r="J8" s="150"/>
    </row>
    <row r="9" spans="1:10">
      <c r="A9" s="150"/>
      <c r="B9" s="150"/>
      <c r="C9" s="150"/>
      <c r="D9" s="150"/>
      <c r="E9" s="150"/>
      <c r="F9" s="150"/>
      <c r="G9" s="150"/>
      <c r="H9" s="150"/>
      <c r="I9" s="150"/>
      <c r="J9" s="150"/>
    </row>
    <row r="10" spans="1:10">
      <c r="A10" s="150"/>
      <c r="B10" s="150"/>
      <c r="C10" s="150"/>
      <c r="D10" s="150"/>
      <c r="E10" s="150"/>
      <c r="F10" s="150"/>
      <c r="G10" s="150"/>
      <c r="H10" s="150"/>
      <c r="I10" s="150"/>
      <c r="J10" s="150"/>
    </row>
    <row r="11" spans="1:10">
      <c r="A11" s="150"/>
      <c r="B11" s="150"/>
      <c r="C11" s="150"/>
      <c r="D11" s="150"/>
      <c r="E11" s="150"/>
      <c r="F11" s="150"/>
      <c r="G11" s="150"/>
      <c r="H11" s="150"/>
      <c r="I11" s="150"/>
      <c r="J11" s="150"/>
    </row>
    <row r="12" spans="1:10">
      <c r="A12" s="150"/>
      <c r="B12" s="150"/>
      <c r="C12" s="150"/>
      <c r="D12" s="150"/>
      <c r="E12" s="150"/>
      <c r="F12" s="150"/>
      <c r="G12" s="150"/>
      <c r="H12" s="150"/>
      <c r="I12" s="150"/>
      <c r="J12" s="150"/>
    </row>
    <row r="13" spans="1:10">
      <c r="A13" s="150"/>
      <c r="B13" s="150"/>
      <c r="C13" s="150"/>
      <c r="D13" s="150"/>
      <c r="E13" s="150"/>
      <c r="F13" s="150"/>
      <c r="G13" s="150"/>
      <c r="H13" s="150"/>
      <c r="I13" s="150"/>
      <c r="J13" s="150"/>
    </row>
    <row r="14" spans="1:10">
      <c r="A14" s="150"/>
      <c r="B14" s="150"/>
      <c r="C14" s="150"/>
      <c r="D14" s="150"/>
      <c r="E14" s="150"/>
      <c r="F14" s="150"/>
      <c r="G14" s="150"/>
      <c r="H14" s="150"/>
      <c r="I14" s="150"/>
      <c r="J14" s="150"/>
    </row>
    <row r="15" spans="1:10">
      <c r="A15" s="150"/>
      <c r="B15" s="150"/>
      <c r="C15" s="150"/>
      <c r="D15" s="150"/>
      <c r="E15" s="150"/>
      <c r="F15" s="150"/>
      <c r="G15" s="150"/>
      <c r="H15" s="150"/>
      <c r="I15" s="150"/>
      <c r="J15" s="150"/>
    </row>
    <row r="16" spans="1:10">
      <c r="A16" s="150"/>
      <c r="B16" s="150"/>
      <c r="C16" s="150"/>
      <c r="D16" s="150"/>
      <c r="E16" s="150"/>
      <c r="F16" s="150"/>
      <c r="G16" s="150"/>
      <c r="H16" s="150"/>
      <c r="I16" s="150"/>
      <c r="J16" s="150"/>
    </row>
    <row r="17" spans="1:10">
      <c r="A17" s="150"/>
      <c r="B17" s="150"/>
      <c r="C17" s="150"/>
      <c r="D17" s="150"/>
      <c r="E17" s="150"/>
      <c r="F17" s="150"/>
      <c r="G17" s="150"/>
      <c r="H17" s="150"/>
      <c r="I17" s="150"/>
      <c r="J17" s="150"/>
    </row>
    <row r="18" spans="1:10">
      <c r="A18" s="150"/>
      <c r="B18" s="150"/>
      <c r="C18" s="150"/>
      <c r="D18" s="150"/>
      <c r="E18" s="150"/>
      <c r="F18" s="150"/>
      <c r="G18" s="150"/>
      <c r="H18" s="150"/>
      <c r="I18" s="150"/>
      <c r="J18" s="150"/>
    </row>
    <row r="19" spans="1:10">
      <c r="A19" s="150"/>
      <c r="B19" s="150"/>
      <c r="C19" s="150"/>
      <c r="D19" s="150"/>
      <c r="E19" s="150"/>
      <c r="F19" s="150"/>
      <c r="G19" s="150"/>
      <c r="H19" s="150"/>
      <c r="I19" s="150"/>
      <c r="J19" s="150"/>
    </row>
    <row r="20" spans="1:10">
      <c r="A20" s="150"/>
      <c r="B20" s="150"/>
      <c r="C20" s="150"/>
      <c r="D20" s="150"/>
      <c r="E20" s="150"/>
      <c r="F20" s="150"/>
      <c r="G20" s="150"/>
      <c r="H20" s="150"/>
      <c r="I20" s="150"/>
      <c r="J20" s="150"/>
    </row>
    <row r="21" spans="1:10">
      <c r="A21" s="150"/>
      <c r="B21" s="150"/>
      <c r="C21" s="150"/>
      <c r="D21" s="150"/>
      <c r="E21" s="150"/>
      <c r="F21" s="150"/>
      <c r="G21" s="150"/>
      <c r="H21" s="150"/>
      <c r="I21" s="150"/>
      <c r="J21" s="150"/>
    </row>
    <row r="22" spans="1:10">
      <c r="A22" s="150"/>
      <c r="B22" s="150"/>
      <c r="C22" s="150"/>
      <c r="D22" s="150"/>
      <c r="E22" s="150"/>
      <c r="F22" s="150"/>
      <c r="G22" s="150"/>
      <c r="H22" s="150"/>
      <c r="I22" s="150"/>
      <c r="J22" s="150"/>
    </row>
    <row r="23" spans="1:10">
      <c r="A23" s="150"/>
      <c r="B23" s="150"/>
      <c r="C23" s="150"/>
      <c r="D23" s="150"/>
      <c r="E23" s="150"/>
      <c r="F23" s="150"/>
      <c r="G23" s="150"/>
      <c r="H23" s="150"/>
      <c r="I23" s="150"/>
      <c r="J23" s="150"/>
    </row>
    <row r="24" spans="1:10">
      <c r="A24" s="150"/>
      <c r="B24" s="150"/>
      <c r="C24" s="150"/>
      <c r="D24" s="150"/>
      <c r="E24" s="150"/>
      <c r="F24" s="150"/>
      <c r="G24" s="150"/>
      <c r="H24" s="150"/>
      <c r="I24" s="150"/>
      <c r="J24" s="150"/>
    </row>
    <row r="25" spans="1:10">
      <c r="A25" s="150"/>
      <c r="B25" s="150"/>
      <c r="C25" s="150"/>
      <c r="D25" s="150"/>
      <c r="E25" s="150"/>
      <c r="F25" s="150"/>
      <c r="G25" s="150"/>
      <c r="H25" s="150"/>
      <c r="I25" s="150"/>
      <c r="J25" s="150"/>
    </row>
    <row r="26" spans="1:10">
      <c r="A26" s="150"/>
      <c r="B26" s="150"/>
      <c r="C26" s="150"/>
      <c r="D26" s="150"/>
      <c r="E26" s="150"/>
      <c r="F26" s="150"/>
      <c r="G26" s="150"/>
      <c r="H26" s="150"/>
      <c r="I26" s="150"/>
      <c r="J26" s="150"/>
    </row>
    <row r="27" spans="1:10">
      <c r="A27" s="150"/>
      <c r="B27" s="150"/>
      <c r="C27" s="150"/>
      <c r="D27" s="150"/>
      <c r="E27" s="150"/>
      <c r="F27" s="150"/>
      <c r="G27" s="150"/>
      <c r="H27" s="150"/>
      <c r="I27" s="150"/>
      <c r="J27" s="150"/>
    </row>
    <row r="28" spans="1:10">
      <c r="A28" s="150"/>
      <c r="B28" s="150"/>
      <c r="C28" s="150"/>
      <c r="D28" s="150"/>
      <c r="E28" s="150"/>
      <c r="F28" s="150"/>
      <c r="G28" s="150"/>
      <c r="H28" s="150"/>
      <c r="I28" s="150"/>
      <c r="J28" s="150"/>
    </row>
    <row r="29" spans="1:10">
      <c r="A29" s="150"/>
      <c r="B29" s="150"/>
      <c r="C29" s="150"/>
      <c r="D29" s="150"/>
      <c r="E29" s="150"/>
      <c r="F29" s="150"/>
      <c r="G29" s="150"/>
      <c r="H29" s="150"/>
      <c r="I29" s="150"/>
      <c r="J29" s="150"/>
    </row>
    <row r="30" spans="1:10">
      <c r="A30" s="150"/>
      <c r="B30" s="150"/>
      <c r="C30" s="150"/>
      <c r="D30" s="150"/>
      <c r="E30" s="150"/>
      <c r="F30" s="150"/>
      <c r="G30" s="150"/>
      <c r="H30" s="150"/>
      <c r="I30" s="150"/>
      <c r="J30" s="150"/>
    </row>
    <row r="31" spans="1:10">
      <c r="A31" s="150"/>
      <c r="B31" s="150"/>
      <c r="C31" s="150"/>
      <c r="D31" s="150"/>
      <c r="E31" s="150"/>
      <c r="F31" s="150"/>
      <c r="G31" s="150"/>
      <c r="H31" s="150"/>
      <c r="I31" s="150"/>
      <c r="J31" s="150"/>
    </row>
    <row r="32" spans="1:10">
      <c r="A32" s="150"/>
      <c r="B32" s="150"/>
      <c r="C32" s="150"/>
      <c r="D32" s="150"/>
      <c r="E32" s="150"/>
      <c r="F32" s="150"/>
      <c r="G32" s="150"/>
      <c r="H32" s="150"/>
      <c r="I32" s="150"/>
      <c r="J32" s="150"/>
    </row>
    <row r="33" spans="1:10">
      <c r="A33" s="150"/>
      <c r="B33" s="150"/>
      <c r="C33" s="150"/>
      <c r="D33" s="150"/>
      <c r="E33" s="150"/>
      <c r="F33" s="150"/>
      <c r="G33" s="150"/>
      <c r="H33" s="150"/>
      <c r="I33" s="150"/>
      <c r="J33" s="150"/>
    </row>
    <row r="34" spans="1:10">
      <c r="A34" s="150"/>
      <c r="B34" s="150"/>
      <c r="C34" s="150"/>
      <c r="D34" s="150"/>
      <c r="E34" s="150"/>
      <c r="F34" s="150"/>
      <c r="G34" s="150"/>
      <c r="H34" s="150"/>
      <c r="I34" s="150"/>
      <c r="J34" s="150"/>
    </row>
    <row r="35" spans="1:10">
      <c r="A35" s="150"/>
      <c r="B35" s="150"/>
      <c r="C35" s="150"/>
      <c r="D35" s="150"/>
      <c r="E35" s="150"/>
      <c r="F35" s="150"/>
      <c r="G35" s="150"/>
      <c r="H35" s="150"/>
      <c r="I35" s="150"/>
      <c r="J35" s="150"/>
    </row>
    <row r="36" spans="1:10">
      <c r="A36" s="150"/>
      <c r="B36" s="150"/>
      <c r="C36" s="150"/>
      <c r="D36" s="150"/>
      <c r="E36" s="150"/>
      <c r="F36" s="150"/>
      <c r="G36" s="150"/>
      <c r="H36" s="150"/>
      <c r="I36" s="150"/>
      <c r="J36" s="150"/>
    </row>
    <row r="37" spans="1:10">
      <c r="A37" s="150"/>
      <c r="B37" s="150"/>
      <c r="C37" s="150"/>
      <c r="D37" s="150"/>
      <c r="E37" s="150"/>
      <c r="F37" s="150"/>
      <c r="G37" s="150"/>
      <c r="H37" s="150"/>
      <c r="I37" s="150"/>
      <c r="J37" s="150"/>
    </row>
    <row r="38" spans="1:10">
      <c r="A38" s="150"/>
      <c r="B38" s="150"/>
      <c r="C38" s="150"/>
      <c r="D38" s="150"/>
      <c r="E38" s="150"/>
      <c r="F38" s="150"/>
      <c r="G38" s="150"/>
      <c r="H38" s="150"/>
      <c r="I38" s="150"/>
      <c r="J38" s="150"/>
    </row>
    <row r="39" spans="1:10">
      <c r="A39" s="150"/>
      <c r="B39" s="150"/>
      <c r="C39" s="150"/>
      <c r="D39" s="150"/>
      <c r="E39" s="150"/>
      <c r="F39" s="150"/>
      <c r="G39" s="150"/>
      <c r="H39" s="150"/>
      <c r="I39" s="150"/>
      <c r="J39" s="150"/>
    </row>
    <row r="40" spans="1:10">
      <c r="A40" s="150"/>
      <c r="B40" s="150"/>
      <c r="C40" s="150"/>
      <c r="D40" s="150"/>
      <c r="E40" s="150"/>
      <c r="F40" s="150"/>
      <c r="G40" s="150"/>
      <c r="H40" s="150"/>
      <c r="I40" s="150"/>
      <c r="J40" s="150"/>
    </row>
    <row r="41" spans="1:10">
      <c r="A41" s="150"/>
      <c r="B41" s="150"/>
      <c r="C41" s="150"/>
      <c r="D41" s="150"/>
      <c r="E41" s="150"/>
      <c r="F41" s="150"/>
      <c r="G41" s="150"/>
      <c r="H41" s="150"/>
      <c r="I41" s="150"/>
      <c r="J41" s="150"/>
    </row>
    <row r="42" spans="1:10">
      <c r="A42" s="150"/>
      <c r="B42" s="150"/>
      <c r="C42" s="150"/>
      <c r="D42" s="150"/>
      <c r="E42" s="150"/>
      <c r="F42" s="150"/>
      <c r="G42" s="150"/>
      <c r="H42" s="150"/>
      <c r="I42" s="150"/>
      <c r="J42" s="150"/>
    </row>
    <row r="43" spans="1:10">
      <c r="A43" s="150"/>
      <c r="B43" s="150"/>
      <c r="C43" s="150"/>
      <c r="D43" s="150"/>
      <c r="E43" s="150"/>
      <c r="F43" s="150"/>
      <c r="G43" s="150"/>
      <c r="H43" s="150"/>
      <c r="I43" s="150"/>
      <c r="J43" s="150"/>
    </row>
    <row r="44" spans="1:10">
      <c r="A44" s="150"/>
      <c r="B44" s="150"/>
      <c r="C44" s="150"/>
      <c r="D44" s="150"/>
      <c r="E44" s="150"/>
      <c r="F44" s="150"/>
      <c r="G44" s="150"/>
      <c r="H44" s="150"/>
      <c r="I44" s="150"/>
      <c r="J44" s="150"/>
    </row>
    <row r="45" spans="1:10">
      <c r="A45" s="150"/>
      <c r="B45" s="150"/>
      <c r="C45" s="150"/>
      <c r="D45" s="150"/>
      <c r="E45" s="150"/>
      <c r="F45" s="150"/>
      <c r="G45" s="150"/>
      <c r="H45" s="150"/>
      <c r="I45" s="150"/>
      <c r="J45" s="150"/>
    </row>
    <row r="46" spans="1:10">
      <c r="A46" s="150"/>
      <c r="B46" s="150"/>
      <c r="C46" s="150"/>
      <c r="D46" s="150"/>
      <c r="E46" s="150"/>
      <c r="F46" s="150"/>
      <c r="G46" s="150"/>
      <c r="H46" s="150"/>
      <c r="I46" s="150"/>
      <c r="J46" s="150"/>
    </row>
    <row r="47" spans="1:10">
      <c r="A47" s="150"/>
      <c r="B47" s="150"/>
      <c r="C47" s="150"/>
      <c r="D47" s="150"/>
      <c r="E47" s="150"/>
      <c r="F47" s="150"/>
      <c r="G47" s="150"/>
      <c r="H47" s="150"/>
      <c r="I47" s="150"/>
      <c r="J47" s="150"/>
    </row>
    <row r="48" spans="1:10">
      <c r="A48" s="150"/>
      <c r="B48" s="150"/>
      <c r="C48" s="150"/>
      <c r="D48" s="150"/>
      <c r="E48" s="150"/>
      <c r="F48" s="150"/>
      <c r="G48" s="150"/>
      <c r="H48" s="150"/>
      <c r="I48" s="150"/>
      <c r="J48" s="150"/>
    </row>
    <row r="49" spans="1:10">
      <c r="A49" s="150"/>
      <c r="B49" s="150"/>
      <c r="C49" s="150"/>
      <c r="D49" s="150"/>
      <c r="E49" s="150"/>
      <c r="F49" s="150"/>
      <c r="G49" s="150"/>
      <c r="H49" s="150"/>
      <c r="I49" s="150"/>
      <c r="J49" s="150"/>
    </row>
    <row r="50" spans="1:10">
      <c r="A50" s="150"/>
      <c r="B50" s="150"/>
      <c r="C50" s="150"/>
      <c r="D50" s="150"/>
      <c r="E50" s="150"/>
      <c r="F50" s="150"/>
      <c r="G50" s="150"/>
      <c r="H50" s="150"/>
      <c r="I50" s="150"/>
      <c r="J50" s="150"/>
    </row>
    <row r="51" spans="1:10">
      <c r="A51" s="150"/>
      <c r="B51" s="150"/>
      <c r="C51" s="150"/>
      <c r="D51" s="150"/>
      <c r="E51" s="150"/>
      <c r="F51" s="150"/>
      <c r="G51" s="150"/>
      <c r="H51" s="150"/>
      <c r="I51" s="150"/>
      <c r="J51" s="150"/>
    </row>
    <row r="52" spans="1:10">
      <c r="A52" s="150"/>
      <c r="B52" s="150"/>
      <c r="C52" s="150"/>
      <c r="D52" s="150"/>
      <c r="E52" s="150"/>
      <c r="F52" s="150"/>
      <c r="G52" s="150"/>
      <c r="H52" s="150"/>
      <c r="I52" s="150"/>
      <c r="J52" s="150"/>
    </row>
    <row r="53" spans="1:10">
      <c r="A53" s="150"/>
      <c r="B53" s="150"/>
      <c r="C53" s="150"/>
      <c r="D53" s="150"/>
      <c r="E53" s="150"/>
      <c r="F53" s="150"/>
      <c r="G53" s="150"/>
      <c r="H53" s="150"/>
      <c r="I53" s="150"/>
      <c r="J53" s="150"/>
    </row>
    <row r="54" spans="1:10">
      <c r="A54" s="150"/>
      <c r="B54" s="150"/>
      <c r="C54" s="150"/>
      <c r="D54" s="150"/>
      <c r="E54" s="150"/>
      <c r="F54" s="150"/>
      <c r="G54" s="150"/>
      <c r="H54" s="150"/>
      <c r="I54" s="150"/>
      <c r="J54" s="150"/>
    </row>
    <row r="55" spans="1:10">
      <c r="A55" s="150"/>
      <c r="B55" s="150"/>
      <c r="C55" s="150"/>
      <c r="D55" s="150"/>
      <c r="E55" s="150"/>
      <c r="F55" s="150"/>
      <c r="G55" s="150"/>
      <c r="H55" s="150"/>
      <c r="I55" s="150"/>
      <c r="J55" s="150"/>
    </row>
    <row r="56" spans="1:10">
      <c r="A56" s="150"/>
      <c r="B56" s="150"/>
      <c r="C56" s="150"/>
      <c r="D56" s="150"/>
      <c r="E56" s="150"/>
      <c r="F56" s="150"/>
      <c r="G56" s="150"/>
      <c r="H56" s="150"/>
      <c r="I56" s="150"/>
      <c r="J56" s="150"/>
    </row>
    <row r="57" spans="1:10">
      <c r="A57" s="150"/>
      <c r="B57" s="150"/>
      <c r="C57" s="150"/>
      <c r="D57" s="150"/>
      <c r="E57" s="150"/>
      <c r="F57" s="150"/>
      <c r="G57" s="150"/>
      <c r="H57" s="150"/>
      <c r="I57" s="150"/>
      <c r="J57" s="150"/>
    </row>
    <row r="58" spans="1:10">
      <c r="A58" s="150"/>
      <c r="B58" s="150"/>
      <c r="C58" s="150"/>
      <c r="D58" s="150"/>
      <c r="E58" s="150"/>
      <c r="F58" s="150"/>
      <c r="G58" s="150"/>
      <c r="H58" s="150"/>
      <c r="I58" s="150"/>
      <c r="J58" s="150"/>
    </row>
    <row r="59" spans="1:10">
      <c r="A59" s="150"/>
      <c r="B59" s="150"/>
      <c r="C59" s="150"/>
      <c r="D59" s="150"/>
      <c r="E59" s="150"/>
      <c r="F59" s="150"/>
      <c r="G59" s="150"/>
      <c r="H59" s="150"/>
      <c r="I59" s="150"/>
      <c r="J59" s="150"/>
    </row>
    <row r="60" spans="1:10">
      <c r="A60" s="150"/>
      <c r="B60" s="150"/>
      <c r="C60" s="150"/>
      <c r="D60" s="150"/>
      <c r="E60" s="150"/>
      <c r="F60" s="150"/>
      <c r="G60" s="150"/>
      <c r="H60" s="150"/>
      <c r="I60" s="150"/>
      <c r="J60" s="150"/>
    </row>
    <row r="61" spans="1:10">
      <c r="A61" s="150"/>
      <c r="B61" s="150"/>
      <c r="C61" s="150"/>
      <c r="D61" s="150"/>
      <c r="E61" s="150"/>
      <c r="F61" s="150"/>
      <c r="G61" s="150"/>
      <c r="H61" s="150"/>
      <c r="I61" s="150"/>
      <c r="J61" s="150"/>
    </row>
    <row r="62" spans="1:10">
      <c r="A62" s="150"/>
      <c r="B62" s="150"/>
      <c r="C62" s="150"/>
      <c r="D62" s="150"/>
      <c r="E62" s="150"/>
      <c r="F62" s="150"/>
      <c r="G62" s="150"/>
      <c r="H62" s="150"/>
      <c r="I62" s="150"/>
      <c r="J62" s="150"/>
    </row>
    <row r="63" spans="1:10">
      <c r="A63" s="150"/>
      <c r="B63" s="150"/>
      <c r="C63" s="150"/>
      <c r="D63" s="150"/>
      <c r="E63" s="150"/>
      <c r="F63" s="150"/>
      <c r="G63" s="150"/>
      <c r="H63" s="150"/>
      <c r="I63" s="150"/>
      <c r="J63" s="150"/>
    </row>
    <row r="64" spans="1:10">
      <c r="A64" s="150"/>
      <c r="B64" s="150"/>
      <c r="C64" s="150"/>
      <c r="D64" s="150"/>
      <c r="E64" s="150"/>
      <c r="F64" s="150"/>
      <c r="G64" s="150"/>
      <c r="H64" s="150"/>
      <c r="I64" s="150"/>
      <c r="J64" s="150"/>
    </row>
    <row r="65" spans="1:10">
      <c r="A65" s="150"/>
      <c r="B65" s="150"/>
      <c r="C65" s="150"/>
      <c r="D65" s="150"/>
      <c r="E65" s="150"/>
      <c r="F65" s="150"/>
      <c r="G65" s="150"/>
      <c r="H65" s="150"/>
      <c r="I65" s="150"/>
      <c r="J65" s="150"/>
    </row>
    <row r="66" spans="1:10">
      <c r="A66" s="150"/>
      <c r="B66" s="150"/>
      <c r="C66" s="150"/>
      <c r="D66" s="150"/>
      <c r="E66" s="150"/>
      <c r="F66" s="150"/>
      <c r="G66" s="150"/>
      <c r="H66" s="150"/>
      <c r="I66" s="150"/>
      <c r="J66" s="150"/>
    </row>
    <row r="67" spans="1:10">
      <c r="A67" s="150"/>
      <c r="B67" s="150"/>
      <c r="C67" s="150"/>
      <c r="D67" s="150"/>
      <c r="E67" s="150"/>
      <c r="F67" s="150"/>
      <c r="G67" s="150"/>
      <c r="H67" s="150"/>
      <c r="I67" s="150"/>
      <c r="J67" s="150"/>
    </row>
    <row r="68" spans="1:10">
      <c r="A68" s="150"/>
      <c r="B68" s="150"/>
      <c r="C68" s="150"/>
      <c r="D68" s="150"/>
      <c r="E68" s="150"/>
      <c r="F68" s="150"/>
      <c r="G68" s="150"/>
      <c r="H68" s="150"/>
      <c r="I68" s="150"/>
      <c r="J68" s="150"/>
    </row>
    <row r="69" spans="1:10">
      <c r="A69" s="150"/>
      <c r="B69" s="150"/>
      <c r="C69" s="150"/>
      <c r="D69" s="150"/>
      <c r="E69" s="150"/>
      <c r="F69" s="150"/>
      <c r="G69" s="150"/>
      <c r="H69" s="150"/>
      <c r="I69" s="150"/>
      <c r="J69" s="150"/>
    </row>
    <row r="70" spans="1:10">
      <c r="A70" s="150"/>
      <c r="B70" s="150"/>
      <c r="C70" s="150"/>
      <c r="D70" s="150"/>
      <c r="E70" s="150"/>
      <c r="F70" s="150"/>
      <c r="G70" s="150"/>
      <c r="H70" s="150"/>
      <c r="I70" s="150"/>
      <c r="J70" s="150"/>
    </row>
    <row r="71" spans="1:10">
      <c r="A71" s="150"/>
      <c r="B71" s="150"/>
      <c r="C71" s="150"/>
      <c r="D71" s="150"/>
      <c r="E71" s="150"/>
      <c r="F71" s="150"/>
      <c r="G71" s="150"/>
      <c r="H71" s="150"/>
      <c r="I71" s="150"/>
      <c r="J71" s="150"/>
    </row>
    <row r="72" spans="1:10">
      <c r="A72" s="150"/>
      <c r="B72" s="150"/>
      <c r="C72" s="150"/>
      <c r="D72" s="150"/>
      <c r="E72" s="150"/>
      <c r="F72" s="150"/>
      <c r="G72" s="150"/>
      <c r="H72" s="150"/>
      <c r="I72" s="150"/>
      <c r="J72" s="150"/>
    </row>
    <row r="73" spans="1:10">
      <c r="A73" s="150"/>
      <c r="B73" s="150"/>
      <c r="C73" s="150"/>
      <c r="D73" s="150"/>
      <c r="E73" s="150"/>
      <c r="F73" s="150"/>
      <c r="G73" s="150"/>
      <c r="H73" s="150"/>
      <c r="I73" s="150"/>
      <c r="J73" s="150"/>
    </row>
    <row r="74" spans="1:10">
      <c r="A74" s="150"/>
      <c r="B74" s="150"/>
      <c r="C74" s="150"/>
      <c r="D74" s="150"/>
      <c r="E74" s="150"/>
      <c r="F74" s="150"/>
      <c r="G74" s="150"/>
      <c r="H74" s="150"/>
      <c r="I74" s="150"/>
      <c r="J74" s="150"/>
    </row>
    <row r="75" spans="1:10">
      <c r="A75" s="150"/>
      <c r="B75" s="150"/>
      <c r="C75" s="150"/>
      <c r="D75" s="150"/>
      <c r="E75" s="150"/>
      <c r="F75" s="150"/>
      <c r="G75" s="150"/>
      <c r="H75" s="150"/>
      <c r="I75" s="150"/>
      <c r="J75" s="150"/>
    </row>
    <row r="76" spans="1:10">
      <c r="A76" s="150"/>
      <c r="B76" s="150"/>
      <c r="C76" s="150"/>
      <c r="D76" s="150"/>
      <c r="E76" s="150"/>
      <c r="F76" s="150"/>
      <c r="G76" s="150"/>
      <c r="H76" s="150"/>
      <c r="I76" s="150"/>
      <c r="J76" s="150"/>
    </row>
    <row r="77" spans="1:10">
      <c r="A77" s="150"/>
      <c r="B77" s="150"/>
      <c r="C77" s="150"/>
      <c r="D77" s="150"/>
      <c r="E77" s="150"/>
      <c r="F77" s="150"/>
      <c r="G77" s="150"/>
      <c r="H77" s="150"/>
      <c r="I77" s="150"/>
      <c r="J77" s="150"/>
    </row>
    <row r="78" spans="1:10">
      <c r="A78" s="150"/>
      <c r="B78" s="150"/>
      <c r="C78" s="150"/>
      <c r="D78" s="150"/>
      <c r="E78" s="150"/>
      <c r="F78" s="150"/>
      <c r="G78" s="150"/>
      <c r="H78" s="150"/>
      <c r="I78" s="150"/>
      <c r="J78" s="150"/>
    </row>
    <row r="79" spans="1:10">
      <c r="A79" s="150"/>
      <c r="B79" s="150"/>
      <c r="C79" s="150"/>
      <c r="D79" s="150"/>
      <c r="E79" s="150"/>
      <c r="F79" s="150"/>
      <c r="G79" s="150"/>
      <c r="H79" s="150"/>
      <c r="I79" s="150"/>
      <c r="J79" s="150"/>
    </row>
    <row r="80" spans="1:10">
      <c r="A80" s="150"/>
      <c r="B80" s="150"/>
      <c r="C80" s="150"/>
      <c r="D80" s="150"/>
      <c r="E80" s="150"/>
      <c r="F80" s="150"/>
      <c r="G80" s="150"/>
      <c r="H80" s="150"/>
      <c r="I80" s="150"/>
      <c r="J80" s="150"/>
    </row>
    <row r="81" spans="1:10">
      <c r="A81" s="150"/>
      <c r="B81" s="150"/>
      <c r="C81" s="150"/>
      <c r="D81" s="150"/>
      <c r="E81" s="150"/>
      <c r="F81" s="150"/>
      <c r="G81" s="150"/>
      <c r="H81" s="150"/>
      <c r="I81" s="150"/>
      <c r="J81" s="150"/>
    </row>
    <row r="82" spans="1:10">
      <c r="A82" s="150"/>
      <c r="B82" s="150"/>
      <c r="C82" s="150"/>
      <c r="D82" s="150"/>
      <c r="E82" s="150"/>
      <c r="F82" s="150"/>
      <c r="G82" s="150"/>
      <c r="H82" s="150"/>
      <c r="I82" s="150"/>
      <c r="J82" s="150"/>
    </row>
    <row r="83" spans="1:10">
      <c r="A83" s="150"/>
      <c r="B83" s="150"/>
      <c r="C83" s="150"/>
      <c r="D83" s="150"/>
      <c r="E83" s="150"/>
      <c r="F83" s="150"/>
      <c r="G83" s="150"/>
      <c r="H83" s="150"/>
      <c r="I83" s="150"/>
      <c r="J83" s="150"/>
    </row>
    <row r="84" spans="1:10">
      <c r="A84" s="150"/>
      <c r="B84" s="150"/>
      <c r="C84" s="150"/>
      <c r="D84" s="150"/>
      <c r="E84" s="150"/>
      <c r="F84" s="150"/>
      <c r="G84" s="150"/>
      <c r="H84" s="150"/>
      <c r="I84" s="150"/>
      <c r="J84" s="150"/>
    </row>
    <row r="85" spans="1:10">
      <c r="A85" s="150"/>
      <c r="B85" s="150"/>
      <c r="C85" s="150"/>
      <c r="D85" s="150"/>
      <c r="E85" s="150"/>
      <c r="F85" s="150"/>
      <c r="G85" s="150"/>
      <c r="H85" s="150"/>
      <c r="I85" s="150"/>
      <c r="J85" s="150"/>
    </row>
    <row r="86" spans="1:10">
      <c r="A86" s="150"/>
      <c r="B86" s="150"/>
      <c r="C86" s="150"/>
      <c r="D86" s="150"/>
      <c r="E86" s="150"/>
      <c r="F86" s="150"/>
      <c r="G86" s="150"/>
      <c r="H86" s="150"/>
      <c r="I86" s="150"/>
      <c r="J86" s="150"/>
    </row>
    <row r="87" spans="1:10">
      <c r="A87" s="150"/>
      <c r="B87" s="150"/>
      <c r="C87" s="150"/>
      <c r="D87" s="150"/>
      <c r="E87" s="150"/>
      <c r="F87" s="150"/>
      <c r="G87" s="150"/>
      <c r="H87" s="150"/>
      <c r="I87" s="150"/>
      <c r="J87" s="150"/>
    </row>
    <row r="88" spans="1:10">
      <c r="A88" s="150"/>
      <c r="B88" s="150"/>
      <c r="C88" s="150"/>
      <c r="D88" s="150"/>
      <c r="E88" s="150"/>
      <c r="F88" s="150"/>
      <c r="G88" s="150"/>
      <c r="H88" s="150"/>
      <c r="I88" s="150"/>
      <c r="J88" s="150"/>
    </row>
    <row r="89" spans="1:10">
      <c r="A89" s="150"/>
      <c r="B89" s="150"/>
      <c r="C89" s="150"/>
      <c r="D89" s="150"/>
      <c r="E89" s="150"/>
      <c r="F89" s="150"/>
      <c r="G89" s="150"/>
      <c r="H89" s="150"/>
      <c r="I89" s="150"/>
      <c r="J89" s="150"/>
    </row>
    <row r="90" spans="1:10">
      <c r="A90" s="150"/>
      <c r="B90" s="150"/>
      <c r="C90" s="150"/>
      <c r="D90" s="150"/>
      <c r="E90" s="150"/>
      <c r="F90" s="150"/>
      <c r="G90" s="150"/>
      <c r="H90" s="150"/>
      <c r="I90" s="150"/>
      <c r="J90" s="150"/>
    </row>
    <row r="91" spans="1:10">
      <c r="A91" s="150"/>
      <c r="B91" s="150"/>
      <c r="C91" s="150"/>
      <c r="D91" s="150"/>
      <c r="E91" s="150"/>
      <c r="F91" s="150"/>
      <c r="G91" s="150"/>
      <c r="H91" s="150"/>
      <c r="I91" s="150"/>
      <c r="J91" s="150"/>
    </row>
    <row r="92" spans="1:10">
      <c r="A92" s="150"/>
      <c r="B92" s="150"/>
      <c r="C92" s="150"/>
      <c r="D92" s="150"/>
      <c r="E92" s="150"/>
      <c r="F92" s="150"/>
      <c r="G92" s="150"/>
      <c r="H92" s="150"/>
      <c r="I92" s="150"/>
      <c r="J92" s="150"/>
    </row>
    <row r="93" spans="1:10">
      <c r="A93" s="150"/>
      <c r="B93" s="150"/>
      <c r="C93" s="150"/>
      <c r="D93" s="150"/>
      <c r="E93" s="150"/>
      <c r="F93" s="150"/>
      <c r="G93" s="150"/>
      <c r="H93" s="150"/>
      <c r="I93" s="150"/>
      <c r="J93" s="150"/>
    </row>
    <row r="94" spans="1:10">
      <c r="A94" s="150"/>
      <c r="B94" s="150"/>
      <c r="C94" s="150"/>
      <c r="D94" s="150"/>
      <c r="E94" s="150"/>
      <c r="F94" s="150"/>
      <c r="G94" s="150"/>
      <c r="H94" s="150"/>
      <c r="I94" s="150"/>
      <c r="J94" s="150"/>
    </row>
    <row r="95" spans="1:10">
      <c r="A95" s="150"/>
      <c r="B95" s="150"/>
      <c r="C95" s="150"/>
      <c r="D95" s="150"/>
      <c r="E95" s="150"/>
      <c r="F95" s="150"/>
      <c r="G95" s="150"/>
      <c r="H95" s="150"/>
      <c r="I95" s="150"/>
      <c r="J95" s="150"/>
    </row>
    <row r="96" spans="1:10">
      <c r="A96" s="150"/>
      <c r="B96" s="150"/>
      <c r="C96" s="150"/>
      <c r="D96" s="150"/>
      <c r="E96" s="150"/>
      <c r="F96" s="150"/>
      <c r="G96" s="150"/>
      <c r="H96" s="150"/>
      <c r="I96" s="150"/>
      <c r="J96" s="150"/>
    </row>
    <row r="97" spans="1:10">
      <c r="A97" s="150"/>
      <c r="B97" s="150"/>
      <c r="C97" s="150"/>
      <c r="D97" s="150"/>
      <c r="E97" s="150"/>
      <c r="F97" s="150"/>
      <c r="G97" s="150"/>
      <c r="H97" s="150"/>
      <c r="I97" s="150"/>
      <c r="J97" s="150"/>
    </row>
    <row r="98" spans="1:10">
      <c r="A98" s="150"/>
      <c r="B98" s="150"/>
      <c r="C98" s="150"/>
      <c r="D98" s="150"/>
      <c r="E98" s="150"/>
      <c r="F98" s="150"/>
      <c r="G98" s="150"/>
      <c r="H98" s="150"/>
      <c r="I98" s="150"/>
      <c r="J98" s="150"/>
    </row>
    <row r="99" spans="1:10">
      <c r="A99" s="150"/>
      <c r="B99" s="150"/>
      <c r="C99" s="150"/>
      <c r="D99" s="150"/>
      <c r="E99" s="150"/>
      <c r="F99" s="150"/>
      <c r="G99" s="150"/>
      <c r="H99" s="150"/>
      <c r="I99" s="150"/>
      <c r="J99" s="150"/>
    </row>
    <row r="100" spans="1:10">
      <c r="A100" s="150"/>
      <c r="B100" s="150"/>
      <c r="C100" s="150"/>
      <c r="D100" s="150"/>
      <c r="E100" s="150"/>
      <c r="F100" s="150"/>
      <c r="G100" s="150"/>
      <c r="H100" s="150"/>
      <c r="I100" s="150"/>
      <c r="J100" s="150"/>
    </row>
    <row r="101" spans="1:10">
      <c r="A101" s="150"/>
      <c r="B101" s="150"/>
      <c r="C101" s="150"/>
      <c r="D101" s="150"/>
      <c r="E101" s="150"/>
      <c r="F101" s="150"/>
      <c r="G101" s="150"/>
      <c r="H101" s="150"/>
      <c r="I101" s="150"/>
      <c r="J101" s="150"/>
    </row>
    <row r="102" spans="1:10">
      <c r="A102" s="150"/>
      <c r="B102" s="150"/>
      <c r="C102" s="150"/>
      <c r="D102" s="150"/>
      <c r="E102" s="150"/>
      <c r="F102" s="150"/>
      <c r="G102" s="150"/>
      <c r="H102" s="150"/>
      <c r="I102" s="150"/>
      <c r="J102" s="150"/>
    </row>
    <row r="103" spans="1:10">
      <c r="A103" s="150"/>
      <c r="B103" s="150"/>
      <c r="C103" s="150"/>
      <c r="D103" s="150"/>
      <c r="E103" s="150"/>
      <c r="F103" s="150"/>
      <c r="G103" s="150"/>
      <c r="H103" s="150"/>
      <c r="I103" s="150"/>
      <c r="J103" s="150"/>
    </row>
    <row r="104" spans="1:10">
      <c r="A104" s="150"/>
      <c r="B104" s="150"/>
      <c r="C104" s="150"/>
      <c r="D104" s="150"/>
      <c r="E104" s="150"/>
      <c r="F104" s="150"/>
      <c r="G104" s="150"/>
      <c r="H104" s="150"/>
      <c r="I104" s="150"/>
      <c r="J104" s="150"/>
    </row>
    <row r="105" spans="1:10">
      <c r="A105" s="150"/>
      <c r="B105" s="150"/>
      <c r="C105" s="150"/>
      <c r="D105" s="150"/>
      <c r="E105" s="150"/>
      <c r="F105" s="150"/>
      <c r="G105" s="150"/>
      <c r="H105" s="150"/>
      <c r="I105" s="150"/>
      <c r="J105" s="150"/>
    </row>
    <row r="106" spans="1:10">
      <c r="A106" s="150"/>
      <c r="B106" s="150"/>
      <c r="C106" s="150"/>
      <c r="D106" s="150"/>
      <c r="E106" s="150"/>
      <c r="F106" s="150"/>
      <c r="G106" s="150"/>
      <c r="H106" s="150"/>
      <c r="I106" s="150"/>
      <c r="J106" s="150"/>
    </row>
    <row r="107" spans="1:10">
      <c r="A107" s="150"/>
      <c r="B107" s="150"/>
      <c r="C107" s="150"/>
      <c r="D107" s="150"/>
      <c r="E107" s="150"/>
      <c r="F107" s="150"/>
      <c r="G107" s="150"/>
      <c r="H107" s="150"/>
      <c r="I107" s="150"/>
      <c r="J107" s="150"/>
    </row>
    <row r="108" spans="1:10">
      <c r="A108" s="150"/>
      <c r="B108" s="150"/>
      <c r="C108" s="150"/>
      <c r="D108" s="150"/>
      <c r="E108" s="150"/>
      <c r="F108" s="150"/>
      <c r="G108" s="150"/>
      <c r="H108" s="150"/>
      <c r="I108" s="150"/>
      <c r="J108" s="150"/>
    </row>
    <row r="109" spans="1:10">
      <c r="A109" s="150"/>
      <c r="B109" s="150"/>
      <c r="C109" s="150"/>
      <c r="D109" s="150"/>
      <c r="E109" s="150"/>
      <c r="F109" s="150"/>
      <c r="G109" s="150"/>
      <c r="H109" s="150"/>
      <c r="I109" s="150"/>
      <c r="J109" s="150"/>
    </row>
    <row r="110" spans="1:10">
      <c r="A110" s="150"/>
      <c r="B110" s="150"/>
      <c r="C110" s="150"/>
      <c r="D110" s="150"/>
      <c r="E110" s="150"/>
      <c r="F110" s="150"/>
      <c r="G110" s="150"/>
      <c r="H110" s="150"/>
      <c r="I110" s="150"/>
      <c r="J110" s="150"/>
    </row>
    <row r="111" spans="1:10">
      <c r="A111" s="150"/>
      <c r="B111" s="150"/>
      <c r="C111" s="150"/>
      <c r="D111" s="150"/>
      <c r="E111" s="150"/>
      <c r="F111" s="150"/>
      <c r="G111" s="150"/>
      <c r="H111" s="150"/>
      <c r="I111" s="150"/>
      <c r="J111" s="150"/>
    </row>
    <row r="112" spans="1:10">
      <c r="A112" s="150"/>
      <c r="B112" s="150"/>
      <c r="C112" s="150"/>
      <c r="D112" s="150"/>
      <c r="E112" s="150"/>
      <c r="F112" s="150"/>
      <c r="G112" s="150"/>
      <c r="H112" s="150"/>
      <c r="I112" s="150"/>
      <c r="J112" s="150"/>
    </row>
    <row r="113" spans="1:10">
      <c r="A113" s="150"/>
      <c r="B113" s="150"/>
      <c r="C113" s="150"/>
      <c r="D113" s="150"/>
      <c r="E113" s="150"/>
      <c r="F113" s="150"/>
      <c r="G113" s="150"/>
      <c r="H113" s="150"/>
      <c r="I113" s="150"/>
      <c r="J113" s="150"/>
    </row>
    <row r="114" spans="1:10">
      <c r="A114" s="150"/>
      <c r="B114" s="150"/>
      <c r="C114" s="150"/>
      <c r="D114" s="150"/>
      <c r="E114" s="150"/>
      <c r="F114" s="150"/>
      <c r="G114" s="150"/>
      <c r="H114" s="150"/>
      <c r="I114" s="150"/>
      <c r="J114" s="150"/>
    </row>
    <row r="115" spans="1:10">
      <c r="A115" s="150"/>
      <c r="B115" s="150"/>
      <c r="C115" s="150"/>
      <c r="D115" s="150"/>
      <c r="E115" s="150"/>
      <c r="F115" s="150"/>
      <c r="G115" s="150"/>
      <c r="H115" s="150"/>
      <c r="I115" s="150"/>
      <c r="J115" s="150"/>
    </row>
    <row r="116" spans="1:10">
      <c r="A116" s="150"/>
      <c r="B116" s="150"/>
      <c r="C116" s="150"/>
      <c r="D116" s="150"/>
      <c r="E116" s="150"/>
      <c r="F116" s="150"/>
      <c r="G116" s="150"/>
      <c r="H116" s="150"/>
      <c r="I116" s="150"/>
      <c r="J116" s="150"/>
    </row>
    <row r="117" spans="1:10">
      <c r="A117" s="150"/>
      <c r="B117" s="150"/>
      <c r="C117" s="150"/>
      <c r="D117" s="150"/>
      <c r="E117" s="150"/>
      <c r="F117" s="150"/>
      <c r="G117" s="150"/>
      <c r="H117" s="150"/>
      <c r="I117" s="150"/>
      <c r="J117" s="150"/>
    </row>
    <row r="118" spans="1:10">
      <c r="A118" s="150"/>
      <c r="B118" s="150"/>
      <c r="C118" s="150"/>
      <c r="D118" s="150"/>
      <c r="E118" s="150"/>
      <c r="F118" s="150"/>
      <c r="G118" s="150"/>
      <c r="H118" s="150"/>
      <c r="I118" s="150"/>
      <c r="J118" s="150"/>
    </row>
    <row r="119" spans="1:10">
      <c r="A119" s="150"/>
      <c r="B119" s="150"/>
      <c r="C119" s="150"/>
      <c r="D119" s="150"/>
      <c r="E119" s="150"/>
      <c r="F119" s="150"/>
      <c r="G119" s="150"/>
      <c r="H119" s="150"/>
      <c r="I119" s="150"/>
      <c r="J119" s="150"/>
    </row>
    <row r="120" spans="1:10">
      <c r="A120" s="150"/>
      <c r="B120" s="150"/>
      <c r="C120" s="150"/>
      <c r="D120" s="150"/>
      <c r="E120" s="150"/>
      <c r="F120" s="150"/>
      <c r="G120" s="150"/>
      <c r="H120" s="150"/>
      <c r="I120" s="150"/>
      <c r="J120" s="150"/>
    </row>
    <row r="121" spans="1:10">
      <c r="A121" s="150"/>
      <c r="B121" s="150"/>
      <c r="C121" s="150"/>
      <c r="D121" s="150"/>
      <c r="E121" s="150"/>
      <c r="F121" s="150"/>
      <c r="G121" s="150"/>
      <c r="H121" s="150"/>
      <c r="I121" s="150"/>
      <c r="J121" s="150"/>
    </row>
    <row r="122" spans="1:10">
      <c r="A122" s="150"/>
      <c r="B122" s="150"/>
      <c r="C122" s="150"/>
      <c r="D122" s="150"/>
      <c r="E122" s="150"/>
      <c r="F122" s="150"/>
      <c r="G122" s="150"/>
      <c r="H122" s="150"/>
      <c r="I122" s="150"/>
      <c r="J122" s="150"/>
    </row>
    <row r="123" spans="1:10">
      <c r="A123" s="150"/>
      <c r="B123" s="150"/>
      <c r="C123" s="150"/>
      <c r="D123" s="150"/>
      <c r="E123" s="150"/>
      <c r="F123" s="150"/>
      <c r="G123" s="150"/>
      <c r="H123" s="150"/>
      <c r="I123" s="150"/>
      <c r="J123" s="150"/>
    </row>
    <row r="124" spans="1:10">
      <c r="A124" s="150"/>
      <c r="B124" s="150"/>
      <c r="C124" s="150"/>
      <c r="D124" s="150"/>
      <c r="E124" s="150"/>
      <c r="F124" s="150"/>
      <c r="G124" s="150"/>
      <c r="H124" s="150"/>
      <c r="I124" s="150"/>
      <c r="J124" s="150"/>
    </row>
    <row r="125" spans="1:10">
      <c r="A125" s="150"/>
      <c r="B125" s="150"/>
      <c r="C125" s="150"/>
      <c r="D125" s="150"/>
      <c r="E125" s="150"/>
      <c r="F125" s="150"/>
      <c r="G125" s="150"/>
      <c r="H125" s="150"/>
      <c r="I125" s="150"/>
      <c r="J125" s="150"/>
    </row>
    <row r="126" spans="1:10">
      <c r="A126" s="150"/>
      <c r="B126" s="150"/>
      <c r="C126" s="150"/>
      <c r="D126" s="150"/>
      <c r="E126" s="150"/>
      <c r="F126" s="150"/>
      <c r="G126" s="150"/>
      <c r="H126" s="150"/>
      <c r="I126" s="150"/>
      <c r="J126" s="150"/>
    </row>
    <row r="127" spans="1:10">
      <c r="A127" s="150"/>
      <c r="B127" s="150"/>
      <c r="C127" s="150"/>
      <c r="D127" s="150"/>
      <c r="E127" s="150"/>
      <c r="F127" s="150"/>
      <c r="G127" s="150"/>
      <c r="H127" s="150"/>
      <c r="I127" s="150"/>
      <c r="J127" s="150"/>
    </row>
    <row r="128" spans="1:10">
      <c r="A128" s="150"/>
      <c r="B128" s="150"/>
      <c r="C128" s="150"/>
      <c r="D128" s="150"/>
      <c r="E128" s="150"/>
      <c r="F128" s="150"/>
      <c r="G128" s="150"/>
      <c r="H128" s="150"/>
      <c r="I128" s="150"/>
      <c r="J128" s="150"/>
    </row>
    <row r="129" spans="1:10">
      <c r="A129" s="150"/>
      <c r="B129" s="150"/>
      <c r="C129" s="150"/>
      <c r="D129" s="150"/>
      <c r="E129" s="150"/>
      <c r="F129" s="150"/>
      <c r="G129" s="150"/>
      <c r="H129" s="150"/>
      <c r="I129" s="150"/>
      <c r="J129" s="150"/>
    </row>
    <row r="130" spans="1:10">
      <c r="A130" s="150"/>
      <c r="B130" s="150"/>
      <c r="C130" s="150"/>
      <c r="D130" s="150"/>
      <c r="E130" s="150"/>
      <c r="F130" s="150"/>
      <c r="G130" s="150"/>
      <c r="H130" s="150"/>
      <c r="I130" s="150"/>
      <c r="J130" s="150"/>
    </row>
    <row r="131" spans="1:10">
      <c r="A131" s="150"/>
      <c r="B131" s="150"/>
      <c r="C131" s="150"/>
      <c r="D131" s="150"/>
      <c r="E131" s="150"/>
      <c r="F131" s="150"/>
      <c r="G131" s="150"/>
      <c r="H131" s="150"/>
      <c r="I131" s="150"/>
      <c r="J131" s="150"/>
    </row>
    <row r="132" spans="1:10">
      <c r="A132" s="150"/>
      <c r="B132" s="150"/>
      <c r="C132" s="150"/>
      <c r="D132" s="150"/>
      <c r="E132" s="150"/>
      <c r="F132" s="150"/>
      <c r="G132" s="150"/>
      <c r="H132" s="150"/>
      <c r="I132" s="150"/>
      <c r="J132" s="150"/>
    </row>
    <row r="133" spans="1:10">
      <c r="A133" s="150"/>
      <c r="B133" s="150"/>
      <c r="C133" s="150"/>
      <c r="D133" s="150"/>
      <c r="E133" s="150"/>
      <c r="F133" s="150"/>
      <c r="G133" s="150"/>
      <c r="H133" s="150"/>
      <c r="I133" s="150"/>
      <c r="J133" s="150"/>
    </row>
    <row r="134" spans="1:10">
      <c r="A134" s="150"/>
      <c r="B134" s="150"/>
      <c r="C134" s="150"/>
      <c r="D134" s="150"/>
      <c r="E134" s="150"/>
      <c r="F134" s="150"/>
      <c r="G134" s="150"/>
      <c r="H134" s="150"/>
      <c r="I134" s="150"/>
      <c r="J134" s="150"/>
    </row>
    <row r="135" spans="1:10">
      <c r="A135" s="150"/>
      <c r="B135" s="150"/>
      <c r="C135" s="150"/>
      <c r="D135" s="150"/>
      <c r="E135" s="150"/>
      <c r="F135" s="150"/>
      <c r="G135" s="150"/>
      <c r="H135" s="150"/>
      <c r="I135" s="150"/>
      <c r="J135" s="150"/>
    </row>
    <row r="136" spans="1:10">
      <c r="A136" s="150"/>
      <c r="B136" s="150"/>
      <c r="C136" s="150"/>
      <c r="D136" s="150"/>
      <c r="E136" s="150"/>
      <c r="F136" s="150"/>
      <c r="G136" s="150"/>
      <c r="H136" s="150"/>
      <c r="I136" s="150"/>
      <c r="J136" s="150"/>
    </row>
    <row r="137" spans="1:10">
      <c r="A137" s="150"/>
      <c r="B137" s="150"/>
      <c r="C137" s="150"/>
      <c r="D137" s="150"/>
      <c r="E137" s="150"/>
      <c r="F137" s="150"/>
      <c r="G137" s="150"/>
      <c r="H137" s="150"/>
      <c r="I137" s="150"/>
      <c r="J137" s="150"/>
    </row>
    <row r="138" spans="1:10">
      <c r="A138" s="150"/>
      <c r="B138" s="150"/>
      <c r="C138" s="150"/>
      <c r="D138" s="150"/>
      <c r="E138" s="150"/>
      <c r="F138" s="150"/>
      <c r="G138" s="150"/>
      <c r="H138" s="150"/>
      <c r="I138" s="150"/>
      <c r="J138" s="150"/>
    </row>
    <row r="139" spans="1:10">
      <c r="A139" s="150"/>
      <c r="B139" s="150"/>
      <c r="C139" s="150"/>
      <c r="D139" s="150"/>
      <c r="E139" s="150"/>
      <c r="F139" s="150"/>
      <c r="G139" s="150"/>
      <c r="H139" s="150"/>
      <c r="I139" s="150"/>
      <c r="J139" s="150"/>
    </row>
  </sheetData>
  <hyperlinks>
    <hyperlink ref="A1" location="turinys!A1" display="Grįžti į turinį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W25"/>
  <sheetViews>
    <sheetView workbookViewId="0">
      <selection activeCell="A10" sqref="A10"/>
    </sheetView>
  </sheetViews>
  <sheetFormatPr defaultRowHeight="12.75"/>
  <cols>
    <col min="1" max="1" width="18.85546875" style="6" bestFit="1" customWidth="1"/>
    <col min="2" max="22" width="9.140625" style="7"/>
    <col min="23" max="23" width="12.140625" style="7" customWidth="1"/>
    <col min="24" max="16384" width="9.140625" style="7"/>
  </cols>
  <sheetData>
    <row r="1" spans="1:23" s="19" customFormat="1" ht="17.25" customHeight="1">
      <c r="A1" s="681" t="s">
        <v>225</v>
      </c>
      <c r="B1" s="681"/>
      <c r="C1" s="681"/>
      <c r="D1" s="20"/>
      <c r="E1" s="20"/>
      <c r="F1" s="20"/>
    </row>
    <row r="3" spans="1:23" s="152" customFormat="1" ht="33.75" customHeight="1">
      <c r="A3" s="81"/>
      <c r="B3" s="682" t="s">
        <v>612</v>
      </c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  <c r="N3" s="682"/>
      <c r="O3" s="682"/>
      <c r="P3" s="682"/>
      <c r="Q3" s="682"/>
      <c r="R3" s="682"/>
      <c r="S3" s="682"/>
      <c r="T3" s="683"/>
      <c r="U3" s="683"/>
      <c r="V3" s="683"/>
      <c r="W3" s="683"/>
    </row>
    <row r="4" spans="1:23" s="81" customFormat="1" ht="15" customHeight="1">
      <c r="A4" s="684" t="s">
        <v>495</v>
      </c>
      <c r="B4" s="685" t="s">
        <v>188</v>
      </c>
      <c r="C4" s="685"/>
      <c r="D4" s="685"/>
      <c r="E4" s="685"/>
      <c r="F4" s="685"/>
      <c r="G4" s="685"/>
      <c r="H4" s="685"/>
      <c r="I4" s="685"/>
      <c r="J4" s="685"/>
      <c r="K4" s="685"/>
      <c r="L4" s="685"/>
      <c r="M4" s="685"/>
      <c r="N4" s="685"/>
      <c r="O4" s="685"/>
      <c r="P4" s="685"/>
      <c r="Q4" s="685"/>
      <c r="R4" s="685"/>
      <c r="S4" s="685"/>
      <c r="T4" s="686" t="s">
        <v>56</v>
      </c>
      <c r="U4" s="686"/>
      <c r="V4" s="687"/>
      <c r="W4" s="690" t="s">
        <v>189</v>
      </c>
    </row>
    <row r="5" spans="1:23" s="81" customFormat="1">
      <c r="A5" s="684"/>
      <c r="B5" s="680" t="s">
        <v>190</v>
      </c>
      <c r="C5" s="680"/>
      <c r="D5" s="680"/>
      <c r="E5" s="680" t="s">
        <v>191</v>
      </c>
      <c r="F5" s="680"/>
      <c r="G5" s="680"/>
      <c r="H5" s="680" t="s">
        <v>192</v>
      </c>
      <c r="I5" s="680"/>
      <c r="J5" s="680"/>
      <c r="K5" s="680" t="s">
        <v>193</v>
      </c>
      <c r="L5" s="680"/>
      <c r="M5" s="680"/>
      <c r="N5" s="680" t="s">
        <v>194</v>
      </c>
      <c r="O5" s="680"/>
      <c r="P5" s="680"/>
      <c r="Q5" s="680" t="s">
        <v>195</v>
      </c>
      <c r="R5" s="680"/>
      <c r="S5" s="680"/>
      <c r="T5" s="688"/>
      <c r="U5" s="688"/>
      <c r="V5" s="689"/>
      <c r="W5" s="691"/>
    </row>
    <row r="6" spans="1:23" s="99" customFormat="1" ht="20.25" customHeight="1">
      <c r="A6" s="684"/>
      <c r="B6" s="289" t="s">
        <v>196</v>
      </c>
      <c r="C6" s="289" t="s">
        <v>197</v>
      </c>
      <c r="D6" s="289" t="s">
        <v>56</v>
      </c>
      <c r="E6" s="289" t="s">
        <v>196</v>
      </c>
      <c r="F6" s="289" t="s">
        <v>197</v>
      </c>
      <c r="G6" s="289" t="s">
        <v>56</v>
      </c>
      <c r="H6" s="289" t="s">
        <v>196</v>
      </c>
      <c r="I6" s="289" t="s">
        <v>197</v>
      </c>
      <c r="J6" s="289" t="s">
        <v>56</v>
      </c>
      <c r="K6" s="289" t="s">
        <v>196</v>
      </c>
      <c r="L6" s="289" t="s">
        <v>197</v>
      </c>
      <c r="M6" s="289" t="s">
        <v>56</v>
      </c>
      <c r="N6" s="289" t="s">
        <v>196</v>
      </c>
      <c r="O6" s="289" t="s">
        <v>197</v>
      </c>
      <c r="P6" s="289" t="s">
        <v>56</v>
      </c>
      <c r="Q6" s="289" t="s">
        <v>196</v>
      </c>
      <c r="R6" s="289" t="s">
        <v>197</v>
      </c>
      <c r="S6" s="289" t="s">
        <v>56</v>
      </c>
      <c r="T6" s="285" t="s">
        <v>196</v>
      </c>
      <c r="U6" s="153" t="s">
        <v>197</v>
      </c>
      <c r="V6" s="154" t="s">
        <v>56</v>
      </c>
      <c r="W6" s="692"/>
    </row>
    <row r="7" spans="1:23" s="81" customFormat="1">
      <c r="A7" s="290" t="s">
        <v>496</v>
      </c>
      <c r="B7" s="291">
        <v>14008</v>
      </c>
      <c r="C7" s="291">
        <v>13280</v>
      </c>
      <c r="D7" s="292">
        <f>B7+C7</f>
        <v>27288</v>
      </c>
      <c r="E7" s="293">
        <v>21050</v>
      </c>
      <c r="F7" s="293">
        <v>23551</v>
      </c>
      <c r="G7" s="292">
        <f>E7+F7</f>
        <v>44601</v>
      </c>
      <c r="H7" s="291">
        <v>29264</v>
      </c>
      <c r="I7" s="291">
        <v>24947</v>
      </c>
      <c r="J7" s="292">
        <f t="shared" ref="J7:J21" si="0">H7+I7</f>
        <v>54211</v>
      </c>
      <c r="K7" s="291">
        <v>36370</v>
      </c>
      <c r="L7" s="291">
        <v>26853</v>
      </c>
      <c r="M7" s="292">
        <f t="shared" ref="M7:M21" si="1">K7+L7</f>
        <v>63223</v>
      </c>
      <c r="N7" s="293">
        <v>26061</v>
      </c>
      <c r="O7" s="293">
        <v>17579</v>
      </c>
      <c r="P7" s="292">
        <f t="shared" ref="P7:P21" si="2">N7+O7</f>
        <v>43640</v>
      </c>
      <c r="Q7" s="291">
        <v>8067</v>
      </c>
      <c r="R7" s="291">
        <v>6438</v>
      </c>
      <c r="S7" s="292">
        <f t="shared" ref="S7:S21" si="3">Q7+R7</f>
        <v>14505</v>
      </c>
      <c r="T7" s="286">
        <f>B7+E7+H7+K7+N7+Q7</f>
        <v>134820</v>
      </c>
      <c r="U7" s="155">
        <f t="shared" ref="T7:U21" si="4">C7+F7+I7+L7+O7+R7</f>
        <v>112648</v>
      </c>
      <c r="V7" s="156">
        <f t="shared" ref="V7:V20" si="5">T7+U7</f>
        <v>247468</v>
      </c>
      <c r="W7" s="157">
        <f>V7/$V$22*100</f>
        <v>23.277566554230102</v>
      </c>
    </row>
    <row r="8" spans="1:23" s="81" customFormat="1">
      <c r="A8" s="294" t="s">
        <v>497</v>
      </c>
      <c r="B8" s="291">
        <v>4115</v>
      </c>
      <c r="C8" s="291">
        <v>3640</v>
      </c>
      <c r="D8" s="292">
        <f t="shared" ref="D8:D21" si="6">B8+C8</f>
        <v>7755</v>
      </c>
      <c r="E8" s="293">
        <v>7208</v>
      </c>
      <c r="F8" s="293">
        <v>6725</v>
      </c>
      <c r="G8" s="292">
        <f t="shared" ref="G8:G21" si="7">E8+F8</f>
        <v>13933</v>
      </c>
      <c r="H8" s="291">
        <v>10871</v>
      </c>
      <c r="I8" s="291">
        <v>6834</v>
      </c>
      <c r="J8" s="292">
        <f t="shared" si="0"/>
        <v>17705</v>
      </c>
      <c r="K8" s="291">
        <v>14002</v>
      </c>
      <c r="L8" s="291">
        <v>8185</v>
      </c>
      <c r="M8" s="292">
        <f t="shared" si="1"/>
        <v>22187</v>
      </c>
      <c r="N8" s="293">
        <v>9272</v>
      </c>
      <c r="O8" s="293">
        <v>5454</v>
      </c>
      <c r="P8" s="292">
        <f t="shared" si="2"/>
        <v>14726</v>
      </c>
      <c r="Q8" s="291">
        <v>1397</v>
      </c>
      <c r="R8" s="291">
        <v>1110</v>
      </c>
      <c r="S8" s="292">
        <f t="shared" si="3"/>
        <v>2507</v>
      </c>
      <c r="T8" s="286">
        <f t="shared" si="4"/>
        <v>46865</v>
      </c>
      <c r="U8" s="155">
        <f t="shared" si="4"/>
        <v>31948</v>
      </c>
      <c r="V8" s="156">
        <f t="shared" si="5"/>
        <v>78813</v>
      </c>
      <c r="W8" s="157">
        <f t="shared" ref="W8:W22" si="8">V8/$V$22*100</f>
        <v>7.4133821457260618</v>
      </c>
    </row>
    <row r="9" spans="1:23" s="81" customFormat="1">
      <c r="A9" s="294" t="s">
        <v>498</v>
      </c>
      <c r="B9" s="291">
        <v>3746</v>
      </c>
      <c r="C9" s="291">
        <v>3825</v>
      </c>
      <c r="D9" s="292">
        <f t="shared" si="6"/>
        <v>7571</v>
      </c>
      <c r="E9" s="293">
        <v>6849</v>
      </c>
      <c r="F9" s="293">
        <v>8411</v>
      </c>
      <c r="G9" s="292">
        <f t="shared" si="7"/>
        <v>15260</v>
      </c>
      <c r="H9" s="291">
        <v>9150</v>
      </c>
      <c r="I9" s="291">
        <v>10036</v>
      </c>
      <c r="J9" s="292">
        <f t="shared" si="0"/>
        <v>19186</v>
      </c>
      <c r="K9" s="291">
        <v>12430</v>
      </c>
      <c r="L9" s="291">
        <v>12877</v>
      </c>
      <c r="M9" s="292">
        <f t="shared" si="1"/>
        <v>25307</v>
      </c>
      <c r="N9" s="293">
        <v>8289</v>
      </c>
      <c r="O9" s="293">
        <v>7174</v>
      </c>
      <c r="P9" s="292">
        <f t="shared" si="2"/>
        <v>15463</v>
      </c>
      <c r="Q9" s="291">
        <v>1162</v>
      </c>
      <c r="R9" s="291">
        <v>1396</v>
      </c>
      <c r="S9" s="292">
        <f t="shared" si="3"/>
        <v>2558</v>
      </c>
      <c r="T9" s="286">
        <f t="shared" si="4"/>
        <v>41626</v>
      </c>
      <c r="U9" s="155">
        <f t="shared" si="4"/>
        <v>43719</v>
      </c>
      <c r="V9" s="156">
        <f t="shared" si="5"/>
        <v>85345</v>
      </c>
      <c r="W9" s="157">
        <f t="shared" si="8"/>
        <v>8.0278012412544975</v>
      </c>
    </row>
    <row r="10" spans="1:23" s="81" customFormat="1">
      <c r="A10" s="294" t="s">
        <v>499</v>
      </c>
      <c r="B10" s="291">
        <v>3211</v>
      </c>
      <c r="C10" s="291">
        <v>3257</v>
      </c>
      <c r="D10" s="292">
        <f t="shared" si="6"/>
        <v>6468</v>
      </c>
      <c r="E10" s="293">
        <v>6702</v>
      </c>
      <c r="F10" s="293">
        <v>6641</v>
      </c>
      <c r="G10" s="292">
        <f t="shared" si="7"/>
        <v>13343</v>
      </c>
      <c r="H10" s="291">
        <v>8432</v>
      </c>
      <c r="I10" s="291">
        <v>7349</v>
      </c>
      <c r="J10" s="292">
        <f t="shared" si="0"/>
        <v>15781</v>
      </c>
      <c r="K10" s="291">
        <v>11033</v>
      </c>
      <c r="L10" s="291">
        <v>9519</v>
      </c>
      <c r="M10" s="292">
        <f t="shared" si="1"/>
        <v>20552</v>
      </c>
      <c r="N10" s="293">
        <v>7579</v>
      </c>
      <c r="O10" s="293">
        <v>6254</v>
      </c>
      <c r="P10" s="292">
        <f t="shared" si="2"/>
        <v>13833</v>
      </c>
      <c r="Q10" s="291">
        <v>924</v>
      </c>
      <c r="R10" s="291">
        <v>965</v>
      </c>
      <c r="S10" s="292">
        <f t="shared" si="3"/>
        <v>1889</v>
      </c>
      <c r="T10" s="286">
        <f t="shared" si="4"/>
        <v>37881</v>
      </c>
      <c r="U10" s="155">
        <f t="shared" si="4"/>
        <v>33985</v>
      </c>
      <c r="V10" s="156">
        <f t="shared" si="5"/>
        <v>71866</v>
      </c>
      <c r="W10" s="157">
        <f t="shared" si="8"/>
        <v>6.7599269319116031</v>
      </c>
    </row>
    <row r="11" spans="1:23" s="81" customFormat="1">
      <c r="A11" s="294" t="s">
        <v>500</v>
      </c>
      <c r="B11" s="291">
        <v>2529</v>
      </c>
      <c r="C11" s="291">
        <v>2437</v>
      </c>
      <c r="D11" s="292">
        <f t="shared" si="6"/>
        <v>4966</v>
      </c>
      <c r="E11" s="293">
        <v>6007</v>
      </c>
      <c r="F11" s="293">
        <v>4641</v>
      </c>
      <c r="G11" s="292">
        <f t="shared" si="7"/>
        <v>10648</v>
      </c>
      <c r="H11" s="291">
        <v>7331</v>
      </c>
      <c r="I11" s="291">
        <v>4518</v>
      </c>
      <c r="J11" s="292">
        <f t="shared" si="0"/>
        <v>11849</v>
      </c>
      <c r="K11" s="291">
        <v>9340</v>
      </c>
      <c r="L11" s="291">
        <v>5901</v>
      </c>
      <c r="M11" s="292">
        <f t="shared" si="1"/>
        <v>15241</v>
      </c>
      <c r="N11" s="293">
        <v>6035</v>
      </c>
      <c r="O11" s="293">
        <v>4261</v>
      </c>
      <c r="P11" s="292">
        <f t="shared" si="2"/>
        <v>10296</v>
      </c>
      <c r="Q11" s="291">
        <v>680</v>
      </c>
      <c r="R11" s="291">
        <v>723</v>
      </c>
      <c r="S11" s="292">
        <f t="shared" si="3"/>
        <v>1403</v>
      </c>
      <c r="T11" s="286">
        <f t="shared" si="4"/>
        <v>31922</v>
      </c>
      <c r="U11" s="155">
        <f t="shared" si="4"/>
        <v>22481</v>
      </c>
      <c r="V11" s="156">
        <f t="shared" si="5"/>
        <v>54403</v>
      </c>
      <c r="W11" s="157">
        <f t="shared" si="8"/>
        <v>5.1173058870228889</v>
      </c>
    </row>
    <row r="12" spans="1:23" s="81" customFormat="1">
      <c r="A12" s="294" t="s">
        <v>529</v>
      </c>
      <c r="B12" s="291">
        <v>4188</v>
      </c>
      <c r="C12" s="291">
        <v>4930</v>
      </c>
      <c r="D12" s="292">
        <f t="shared" si="6"/>
        <v>9118</v>
      </c>
      <c r="E12" s="293">
        <v>12036</v>
      </c>
      <c r="F12" s="293">
        <v>9928</v>
      </c>
      <c r="G12" s="292">
        <f t="shared" si="7"/>
        <v>21964</v>
      </c>
      <c r="H12" s="291">
        <v>13555</v>
      </c>
      <c r="I12" s="291">
        <v>8517</v>
      </c>
      <c r="J12" s="292">
        <f t="shared" si="0"/>
        <v>22072</v>
      </c>
      <c r="K12" s="291">
        <v>15789</v>
      </c>
      <c r="L12" s="291">
        <v>11102</v>
      </c>
      <c r="M12" s="292">
        <f t="shared" si="1"/>
        <v>26891</v>
      </c>
      <c r="N12" s="293">
        <v>9867</v>
      </c>
      <c r="O12" s="293">
        <v>8191</v>
      </c>
      <c r="P12" s="292">
        <f t="shared" si="2"/>
        <v>18058</v>
      </c>
      <c r="Q12" s="291">
        <v>1040</v>
      </c>
      <c r="R12" s="291">
        <v>1186</v>
      </c>
      <c r="S12" s="292">
        <f t="shared" si="3"/>
        <v>2226</v>
      </c>
      <c r="T12" s="286">
        <f t="shared" si="4"/>
        <v>56475</v>
      </c>
      <c r="U12" s="155">
        <f t="shared" si="4"/>
        <v>43854</v>
      </c>
      <c r="V12" s="156">
        <f t="shared" si="5"/>
        <v>100329</v>
      </c>
      <c r="W12" s="157">
        <f t="shared" si="8"/>
        <v>9.4372402687189947</v>
      </c>
    </row>
    <row r="13" spans="1:23" s="81" customFormat="1">
      <c r="A13" s="294" t="s">
        <v>501</v>
      </c>
      <c r="B13" s="291">
        <v>2384</v>
      </c>
      <c r="C13" s="291">
        <v>3671</v>
      </c>
      <c r="D13" s="292">
        <f t="shared" si="6"/>
        <v>6055</v>
      </c>
      <c r="E13" s="293">
        <v>9389</v>
      </c>
      <c r="F13" s="293">
        <v>9051</v>
      </c>
      <c r="G13" s="292">
        <f t="shared" si="7"/>
        <v>18440</v>
      </c>
      <c r="H13" s="291">
        <v>11368</v>
      </c>
      <c r="I13" s="291">
        <v>7263</v>
      </c>
      <c r="J13" s="292">
        <f t="shared" si="0"/>
        <v>18631</v>
      </c>
      <c r="K13" s="291">
        <v>14125</v>
      </c>
      <c r="L13" s="291">
        <v>9219</v>
      </c>
      <c r="M13" s="292">
        <f t="shared" si="1"/>
        <v>23344</v>
      </c>
      <c r="N13" s="293">
        <v>9373</v>
      </c>
      <c r="O13" s="293">
        <v>6872</v>
      </c>
      <c r="P13" s="292">
        <f t="shared" si="2"/>
        <v>16245</v>
      </c>
      <c r="Q13" s="291">
        <v>848</v>
      </c>
      <c r="R13" s="291">
        <v>841</v>
      </c>
      <c r="S13" s="292">
        <f t="shared" si="3"/>
        <v>1689</v>
      </c>
      <c r="T13" s="286">
        <f t="shared" si="4"/>
        <v>47487</v>
      </c>
      <c r="U13" s="155">
        <f t="shared" si="4"/>
        <v>36917</v>
      </c>
      <c r="V13" s="156">
        <f t="shared" si="5"/>
        <v>84404</v>
      </c>
      <c r="W13" s="157">
        <f t="shared" si="8"/>
        <v>7.9392880188276367</v>
      </c>
    </row>
    <row r="14" spans="1:23" s="81" customFormat="1">
      <c r="A14" s="294" t="s">
        <v>502</v>
      </c>
      <c r="B14" s="291">
        <v>1630</v>
      </c>
      <c r="C14" s="291">
        <v>2799</v>
      </c>
      <c r="D14" s="292">
        <f>B14+C14</f>
        <v>4429</v>
      </c>
      <c r="E14" s="293">
        <v>8167</v>
      </c>
      <c r="F14" s="293">
        <v>9426</v>
      </c>
      <c r="G14" s="292">
        <f t="shared" si="7"/>
        <v>17593</v>
      </c>
      <c r="H14" s="291">
        <v>9703</v>
      </c>
      <c r="I14" s="291">
        <v>7336</v>
      </c>
      <c r="J14" s="292">
        <f t="shared" si="0"/>
        <v>17039</v>
      </c>
      <c r="K14" s="291">
        <v>11496</v>
      </c>
      <c r="L14" s="291">
        <v>8724</v>
      </c>
      <c r="M14" s="292">
        <f t="shared" si="1"/>
        <v>20220</v>
      </c>
      <c r="N14" s="293">
        <v>7501</v>
      </c>
      <c r="O14" s="293">
        <v>6491</v>
      </c>
      <c r="P14" s="292">
        <f t="shared" si="2"/>
        <v>13992</v>
      </c>
      <c r="Q14" s="291">
        <v>627</v>
      </c>
      <c r="R14" s="291">
        <v>741</v>
      </c>
      <c r="S14" s="292">
        <f t="shared" si="3"/>
        <v>1368</v>
      </c>
      <c r="T14" s="286">
        <f t="shared" si="4"/>
        <v>39124</v>
      </c>
      <c r="U14" s="155">
        <f t="shared" si="4"/>
        <v>35517</v>
      </c>
      <c r="V14" s="156">
        <f t="shared" si="5"/>
        <v>74641</v>
      </c>
      <c r="W14" s="157">
        <f t="shared" si="8"/>
        <v>7.0209515782819976</v>
      </c>
    </row>
    <row r="15" spans="1:23" s="81" customFormat="1">
      <c r="A15" s="294" t="s">
        <v>528</v>
      </c>
      <c r="B15" s="291">
        <v>885</v>
      </c>
      <c r="C15" s="291">
        <v>1658</v>
      </c>
      <c r="D15" s="292">
        <f t="shared" si="6"/>
        <v>2543</v>
      </c>
      <c r="E15" s="293">
        <v>5840</v>
      </c>
      <c r="F15" s="293">
        <v>7199</v>
      </c>
      <c r="G15" s="292">
        <f t="shared" si="7"/>
        <v>13039</v>
      </c>
      <c r="H15" s="291">
        <v>7475</v>
      </c>
      <c r="I15" s="291">
        <v>5578</v>
      </c>
      <c r="J15" s="292">
        <f t="shared" si="0"/>
        <v>13053</v>
      </c>
      <c r="K15" s="291">
        <v>9105</v>
      </c>
      <c r="L15" s="291">
        <v>6565</v>
      </c>
      <c r="M15" s="292">
        <f t="shared" si="1"/>
        <v>15670</v>
      </c>
      <c r="N15" s="293">
        <v>5788</v>
      </c>
      <c r="O15" s="293">
        <v>4794</v>
      </c>
      <c r="P15" s="292">
        <f t="shared" si="2"/>
        <v>10582</v>
      </c>
      <c r="Q15" s="291">
        <v>497</v>
      </c>
      <c r="R15" s="291">
        <v>586</v>
      </c>
      <c r="S15" s="292">
        <f t="shared" si="3"/>
        <v>1083</v>
      </c>
      <c r="T15" s="286">
        <f t="shared" si="4"/>
        <v>29590</v>
      </c>
      <c r="U15" s="155">
        <f t="shared" si="4"/>
        <v>26380</v>
      </c>
      <c r="V15" s="156">
        <f t="shared" si="5"/>
        <v>55970</v>
      </c>
      <c r="W15" s="157">
        <f t="shared" si="8"/>
        <v>5.2647025071534861</v>
      </c>
    </row>
    <row r="16" spans="1:23" s="81" customFormat="1">
      <c r="A16" s="294" t="s">
        <v>527</v>
      </c>
      <c r="B16" s="291">
        <v>539</v>
      </c>
      <c r="C16" s="291">
        <v>1307</v>
      </c>
      <c r="D16" s="292">
        <f t="shared" si="6"/>
        <v>1846</v>
      </c>
      <c r="E16" s="293">
        <v>4686</v>
      </c>
      <c r="F16" s="293">
        <v>6545</v>
      </c>
      <c r="G16" s="292">
        <f t="shared" si="7"/>
        <v>11231</v>
      </c>
      <c r="H16" s="291">
        <v>5783</v>
      </c>
      <c r="I16" s="291">
        <v>4854</v>
      </c>
      <c r="J16" s="292">
        <f t="shared" si="0"/>
        <v>10637</v>
      </c>
      <c r="K16" s="291">
        <v>6885</v>
      </c>
      <c r="L16" s="291">
        <v>5282</v>
      </c>
      <c r="M16" s="292">
        <f t="shared" si="1"/>
        <v>12167</v>
      </c>
      <c r="N16" s="293">
        <v>4279</v>
      </c>
      <c r="O16" s="293">
        <v>3664</v>
      </c>
      <c r="P16" s="292">
        <f t="shared" si="2"/>
        <v>7943</v>
      </c>
      <c r="Q16" s="291">
        <v>407</v>
      </c>
      <c r="R16" s="291">
        <v>448</v>
      </c>
      <c r="S16" s="292">
        <f t="shared" si="3"/>
        <v>855</v>
      </c>
      <c r="T16" s="286">
        <f t="shared" si="4"/>
        <v>22579</v>
      </c>
      <c r="U16" s="155">
        <f t="shared" si="4"/>
        <v>22100</v>
      </c>
      <c r="V16" s="156">
        <f t="shared" si="5"/>
        <v>44679</v>
      </c>
      <c r="W16" s="157">
        <f t="shared" si="8"/>
        <v>4.2026379009667787</v>
      </c>
    </row>
    <row r="17" spans="1:23" s="81" customFormat="1">
      <c r="A17" s="294" t="s">
        <v>526</v>
      </c>
      <c r="B17" s="291">
        <v>614</v>
      </c>
      <c r="C17" s="291">
        <v>1607</v>
      </c>
      <c r="D17" s="292">
        <f t="shared" si="6"/>
        <v>2221</v>
      </c>
      <c r="E17" s="293">
        <v>8113</v>
      </c>
      <c r="F17" s="293">
        <v>12225</v>
      </c>
      <c r="G17" s="292">
        <f t="shared" si="7"/>
        <v>20338</v>
      </c>
      <c r="H17" s="291">
        <v>9364</v>
      </c>
      <c r="I17" s="291">
        <v>9629</v>
      </c>
      <c r="J17" s="292">
        <f t="shared" si="0"/>
        <v>18993</v>
      </c>
      <c r="K17" s="291">
        <v>10296</v>
      </c>
      <c r="L17" s="291">
        <v>9140</v>
      </c>
      <c r="M17" s="292">
        <f t="shared" si="1"/>
        <v>19436</v>
      </c>
      <c r="N17" s="293">
        <v>6728</v>
      </c>
      <c r="O17" s="293">
        <v>6405</v>
      </c>
      <c r="P17" s="292">
        <f t="shared" si="2"/>
        <v>13133</v>
      </c>
      <c r="Q17" s="291">
        <v>696</v>
      </c>
      <c r="R17" s="291">
        <v>787</v>
      </c>
      <c r="S17" s="292">
        <f t="shared" si="3"/>
        <v>1483</v>
      </c>
      <c r="T17" s="286">
        <f t="shared" si="4"/>
        <v>35811</v>
      </c>
      <c r="U17" s="155">
        <f>C17+F17+I17+L17+O17+R17</f>
        <v>39793</v>
      </c>
      <c r="V17" s="156">
        <f t="shared" si="5"/>
        <v>75604</v>
      </c>
      <c r="W17" s="157">
        <f t="shared" si="8"/>
        <v>7.1115341852926948</v>
      </c>
    </row>
    <row r="18" spans="1:23" s="81" customFormat="1">
      <c r="A18" s="294" t="s">
        <v>525</v>
      </c>
      <c r="B18" s="291">
        <v>180</v>
      </c>
      <c r="C18" s="291">
        <v>547</v>
      </c>
      <c r="D18" s="292">
        <f t="shared" si="6"/>
        <v>727</v>
      </c>
      <c r="E18" s="293">
        <v>3870</v>
      </c>
      <c r="F18" s="293">
        <v>6889</v>
      </c>
      <c r="G18" s="292">
        <f>E18+F18</f>
        <v>10759</v>
      </c>
      <c r="H18" s="291">
        <v>4305</v>
      </c>
      <c r="I18" s="291">
        <v>5683</v>
      </c>
      <c r="J18" s="292">
        <f t="shared" si="0"/>
        <v>9988</v>
      </c>
      <c r="K18" s="291">
        <v>4182</v>
      </c>
      <c r="L18" s="291">
        <v>4394</v>
      </c>
      <c r="M18" s="292">
        <f t="shared" si="1"/>
        <v>8576</v>
      </c>
      <c r="N18" s="293">
        <v>2840</v>
      </c>
      <c r="O18" s="293">
        <v>3186</v>
      </c>
      <c r="P18" s="292">
        <f t="shared" si="2"/>
        <v>6026</v>
      </c>
      <c r="Q18" s="291">
        <v>379</v>
      </c>
      <c r="R18" s="291">
        <v>526</v>
      </c>
      <c r="S18" s="292">
        <f t="shared" si="3"/>
        <v>905</v>
      </c>
      <c r="T18" s="286">
        <f t="shared" si="4"/>
        <v>15756</v>
      </c>
      <c r="U18" s="155">
        <f t="shared" si="4"/>
        <v>21225</v>
      </c>
      <c r="V18" s="156">
        <f t="shared" si="5"/>
        <v>36981</v>
      </c>
      <c r="W18" s="157">
        <f t="shared" si="8"/>
        <v>3.4785414224949629</v>
      </c>
    </row>
    <row r="19" spans="1:23" s="81" customFormat="1">
      <c r="A19" s="294" t="s">
        <v>503</v>
      </c>
      <c r="B19" s="291">
        <v>59</v>
      </c>
      <c r="C19" s="291">
        <v>207</v>
      </c>
      <c r="D19" s="292">
        <f t="shared" si="6"/>
        <v>266</v>
      </c>
      <c r="E19" s="293">
        <v>2083</v>
      </c>
      <c r="F19" s="293">
        <v>4340</v>
      </c>
      <c r="G19" s="292">
        <f t="shared" si="7"/>
        <v>6423</v>
      </c>
      <c r="H19" s="291">
        <v>2792</v>
      </c>
      <c r="I19" s="291">
        <v>3994</v>
      </c>
      <c r="J19" s="292">
        <f t="shared" si="0"/>
        <v>6786</v>
      </c>
      <c r="K19" s="291">
        <v>2441</v>
      </c>
      <c r="L19" s="291">
        <v>2659</v>
      </c>
      <c r="M19" s="292">
        <f t="shared" si="1"/>
        <v>5100</v>
      </c>
      <c r="N19" s="293">
        <v>1568</v>
      </c>
      <c r="O19" s="293">
        <v>1821</v>
      </c>
      <c r="P19" s="292">
        <f t="shared" si="2"/>
        <v>3389</v>
      </c>
      <c r="Q19" s="291">
        <v>197</v>
      </c>
      <c r="R19" s="291">
        <v>287</v>
      </c>
      <c r="S19" s="292">
        <f t="shared" si="3"/>
        <v>484</v>
      </c>
      <c r="T19" s="286">
        <f t="shared" si="4"/>
        <v>9140</v>
      </c>
      <c r="U19" s="155">
        <f t="shared" si="4"/>
        <v>13308</v>
      </c>
      <c r="V19" s="156">
        <f t="shared" si="5"/>
        <v>22448</v>
      </c>
      <c r="W19" s="157">
        <f t="shared" si="8"/>
        <v>2.1115247789991325</v>
      </c>
    </row>
    <row r="20" spans="1:23" s="81" customFormat="1">
      <c r="A20" s="294" t="s">
        <v>524</v>
      </c>
      <c r="B20" s="291">
        <v>34</v>
      </c>
      <c r="C20" s="291">
        <v>104</v>
      </c>
      <c r="D20" s="292">
        <f>B20+C20</f>
        <v>138</v>
      </c>
      <c r="E20" s="293">
        <v>1519</v>
      </c>
      <c r="F20" s="293">
        <v>3796</v>
      </c>
      <c r="G20" s="292">
        <f t="shared" si="7"/>
        <v>5315</v>
      </c>
      <c r="H20" s="291">
        <v>2484</v>
      </c>
      <c r="I20" s="291">
        <v>4083</v>
      </c>
      <c r="J20" s="292">
        <f t="shared" si="0"/>
        <v>6567</v>
      </c>
      <c r="K20" s="291">
        <v>1991</v>
      </c>
      <c r="L20" s="291">
        <v>2669</v>
      </c>
      <c r="M20" s="292">
        <f t="shared" si="1"/>
        <v>4660</v>
      </c>
      <c r="N20" s="293">
        <v>1193</v>
      </c>
      <c r="O20" s="293">
        <v>1769</v>
      </c>
      <c r="P20" s="292">
        <f t="shared" si="2"/>
        <v>2962</v>
      </c>
      <c r="Q20" s="291">
        <v>120</v>
      </c>
      <c r="R20" s="291">
        <v>280</v>
      </c>
      <c r="S20" s="292">
        <f t="shared" si="3"/>
        <v>400</v>
      </c>
      <c r="T20" s="286">
        <f t="shared" si="4"/>
        <v>7341</v>
      </c>
      <c r="U20" s="155">
        <f t="shared" si="4"/>
        <v>12701</v>
      </c>
      <c r="V20" s="156">
        <f t="shared" si="5"/>
        <v>20042</v>
      </c>
      <c r="W20" s="157">
        <f t="shared" si="8"/>
        <v>1.8852093558758294</v>
      </c>
    </row>
    <row r="21" spans="1:23" s="81" customFormat="1">
      <c r="A21" s="294" t="s">
        <v>504</v>
      </c>
      <c r="B21" s="291">
        <v>11</v>
      </c>
      <c r="C21" s="291">
        <v>32</v>
      </c>
      <c r="D21" s="292">
        <f t="shared" si="6"/>
        <v>43</v>
      </c>
      <c r="E21" s="293">
        <v>471</v>
      </c>
      <c r="F21" s="293">
        <v>1623</v>
      </c>
      <c r="G21" s="292">
        <f t="shared" si="7"/>
        <v>2094</v>
      </c>
      <c r="H21" s="291">
        <v>1180</v>
      </c>
      <c r="I21" s="291">
        <v>2992</v>
      </c>
      <c r="J21" s="292">
        <f t="shared" si="0"/>
        <v>4172</v>
      </c>
      <c r="K21" s="291">
        <v>721</v>
      </c>
      <c r="L21" s="291">
        <v>1602</v>
      </c>
      <c r="M21" s="292">
        <f t="shared" si="1"/>
        <v>2323</v>
      </c>
      <c r="N21" s="293">
        <v>337</v>
      </c>
      <c r="O21" s="293">
        <v>941</v>
      </c>
      <c r="P21" s="292">
        <f t="shared" si="2"/>
        <v>1278</v>
      </c>
      <c r="Q21" s="291">
        <v>47</v>
      </c>
      <c r="R21" s="291">
        <v>168</v>
      </c>
      <c r="S21" s="292">
        <f t="shared" si="3"/>
        <v>215</v>
      </c>
      <c r="T21" s="286">
        <f t="shared" si="4"/>
        <v>2767</v>
      </c>
      <c r="U21" s="155">
        <f t="shared" si="4"/>
        <v>7358</v>
      </c>
      <c r="V21" s="156">
        <f>T21+U21</f>
        <v>10125</v>
      </c>
      <c r="W21" s="157">
        <f t="shared" si="8"/>
        <v>0.9523872232433277</v>
      </c>
    </row>
    <row r="22" spans="1:23" s="159" customFormat="1" ht="13.5">
      <c r="A22" s="295" t="s">
        <v>56</v>
      </c>
      <c r="B22" s="295">
        <f t="shared" ref="B22:N22" si="9">SUM(B7:B21)</f>
        <v>38133</v>
      </c>
      <c r="C22" s="295">
        <f t="shared" si="9"/>
        <v>43301</v>
      </c>
      <c r="D22" s="295">
        <f>SUM(D7:D21)</f>
        <v>81434</v>
      </c>
      <c r="E22" s="295">
        <f t="shared" si="9"/>
        <v>103990</v>
      </c>
      <c r="F22" s="295">
        <f t="shared" si="9"/>
        <v>120991</v>
      </c>
      <c r="G22" s="295">
        <f t="shared" si="9"/>
        <v>224981</v>
      </c>
      <c r="H22" s="295">
        <f t="shared" si="9"/>
        <v>133057</v>
      </c>
      <c r="I22" s="295">
        <f t="shared" si="9"/>
        <v>113613</v>
      </c>
      <c r="J22" s="295">
        <f t="shared" si="9"/>
        <v>246670</v>
      </c>
      <c r="K22" s="295">
        <f t="shared" si="9"/>
        <v>160206</v>
      </c>
      <c r="L22" s="295">
        <f t="shared" si="9"/>
        <v>124691</v>
      </c>
      <c r="M22" s="295">
        <f t="shared" si="9"/>
        <v>284897</v>
      </c>
      <c r="N22" s="295">
        <f t="shared" si="9"/>
        <v>106710</v>
      </c>
      <c r="O22" s="295">
        <f t="shared" ref="O22:V22" si="10">SUM(O7:O21)</f>
        <v>84856</v>
      </c>
      <c r="P22" s="295">
        <f>SUM(P7:P21)</f>
        <v>191566</v>
      </c>
      <c r="Q22" s="295">
        <f>SUM(Q7:Q21)</f>
        <v>17088</v>
      </c>
      <c r="R22" s="295">
        <f t="shared" si="10"/>
        <v>16482</v>
      </c>
      <c r="S22" s="295">
        <f>SUM(S7:S21)</f>
        <v>33570</v>
      </c>
      <c r="T22" s="287">
        <f t="shared" si="10"/>
        <v>559184</v>
      </c>
      <c r="U22" s="158">
        <f t="shared" si="10"/>
        <v>503934</v>
      </c>
      <c r="V22" s="158">
        <f t="shared" si="10"/>
        <v>1063118</v>
      </c>
      <c r="W22" s="284">
        <f t="shared" si="8"/>
        <v>100</v>
      </c>
    </row>
    <row r="23" spans="1:23" s="162" customFormat="1" ht="36.75" customHeight="1">
      <c r="A23" s="296" t="s">
        <v>505</v>
      </c>
      <c r="B23" s="297">
        <v>407.53</v>
      </c>
      <c r="C23" s="297">
        <v>485.05</v>
      </c>
      <c r="D23" s="298">
        <v>448.75</v>
      </c>
      <c r="E23" s="297">
        <v>648.34</v>
      </c>
      <c r="F23" s="297">
        <v>775.29</v>
      </c>
      <c r="G23" s="298">
        <v>716.61</v>
      </c>
      <c r="H23" s="297">
        <v>655.07000000000005</v>
      </c>
      <c r="I23" s="297">
        <v>808.64</v>
      </c>
      <c r="J23" s="298">
        <v>725.8</v>
      </c>
      <c r="K23" s="297">
        <v>605.89</v>
      </c>
      <c r="L23" s="297">
        <v>682.87</v>
      </c>
      <c r="M23" s="298">
        <v>639.58000000000004</v>
      </c>
      <c r="N23" s="297">
        <v>586.95000000000005</v>
      </c>
      <c r="O23" s="297">
        <v>687.13</v>
      </c>
      <c r="P23" s="298">
        <v>631.33000000000004</v>
      </c>
      <c r="Q23" s="297">
        <v>444.51</v>
      </c>
      <c r="R23" s="297">
        <v>551.44000000000005</v>
      </c>
      <c r="S23" s="299">
        <v>497.01</v>
      </c>
      <c r="T23" s="288">
        <v>603.41</v>
      </c>
      <c r="U23" s="161">
        <v>712.84</v>
      </c>
      <c r="V23" s="161">
        <v>655.28</v>
      </c>
      <c r="W23" s="160"/>
    </row>
    <row r="24" spans="1:23" s="81" customFormat="1">
      <c r="V24" s="163"/>
    </row>
    <row r="25" spans="1:23" s="81" customFormat="1">
      <c r="V25" s="163"/>
    </row>
  </sheetData>
  <mergeCells count="12">
    <mergeCell ref="Q5:S5"/>
    <mergeCell ref="A1:C1"/>
    <mergeCell ref="B3:W3"/>
    <mergeCell ref="A4:A6"/>
    <mergeCell ref="B4:S4"/>
    <mergeCell ref="T4:V5"/>
    <mergeCell ref="W4:W6"/>
    <mergeCell ref="B5:D5"/>
    <mergeCell ref="E5:G5"/>
    <mergeCell ref="H5:J5"/>
    <mergeCell ref="K5:M5"/>
    <mergeCell ref="N5:P5"/>
  </mergeCells>
  <hyperlinks>
    <hyperlink ref="A1" location="turinys!A1" display="Grįžti į turinį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T4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47" sqref="A47"/>
    </sheetView>
  </sheetViews>
  <sheetFormatPr defaultColWidth="7.5703125" defaultRowHeight="12.75"/>
  <cols>
    <col min="1" max="1" width="66.140625" style="12" customWidth="1"/>
    <col min="2" max="2" width="8.85546875" style="8" hidden="1" customWidth="1"/>
    <col min="3" max="14" width="7.5703125" style="8" hidden="1" customWidth="1"/>
    <col min="15" max="16" width="8.42578125" style="214" bestFit="1" customWidth="1"/>
    <col min="17" max="19" width="9" style="214" bestFit="1" customWidth="1"/>
    <col min="20" max="20" width="9.28515625" style="214" bestFit="1" customWidth="1"/>
    <col min="21" max="256" width="7.5703125" style="8"/>
    <col min="257" max="257" width="66.140625" style="8" customWidth="1"/>
    <col min="258" max="258" width="8.85546875" style="8" customWidth="1"/>
    <col min="259" max="512" width="7.5703125" style="8"/>
    <col min="513" max="513" width="66.140625" style="8" customWidth="1"/>
    <col min="514" max="514" width="8.85546875" style="8" customWidth="1"/>
    <col min="515" max="768" width="7.5703125" style="8"/>
    <col min="769" max="769" width="66.140625" style="8" customWidth="1"/>
    <col min="770" max="770" width="8.85546875" style="8" customWidth="1"/>
    <col min="771" max="1024" width="7.5703125" style="8"/>
    <col min="1025" max="1025" width="66.140625" style="8" customWidth="1"/>
    <col min="1026" max="1026" width="8.85546875" style="8" customWidth="1"/>
    <col min="1027" max="1280" width="7.5703125" style="8"/>
    <col min="1281" max="1281" width="66.140625" style="8" customWidth="1"/>
    <col min="1282" max="1282" width="8.85546875" style="8" customWidth="1"/>
    <col min="1283" max="1536" width="7.5703125" style="8"/>
    <col min="1537" max="1537" width="66.140625" style="8" customWidth="1"/>
    <col min="1538" max="1538" width="8.85546875" style="8" customWidth="1"/>
    <col min="1539" max="1792" width="7.5703125" style="8"/>
    <col min="1793" max="1793" width="66.140625" style="8" customWidth="1"/>
    <col min="1794" max="1794" width="8.85546875" style="8" customWidth="1"/>
    <col min="1795" max="2048" width="7.5703125" style="8"/>
    <col min="2049" max="2049" width="66.140625" style="8" customWidth="1"/>
    <col min="2050" max="2050" width="8.85546875" style="8" customWidth="1"/>
    <col min="2051" max="2304" width="7.5703125" style="8"/>
    <col min="2305" max="2305" width="66.140625" style="8" customWidth="1"/>
    <col min="2306" max="2306" width="8.85546875" style="8" customWidth="1"/>
    <col min="2307" max="2560" width="7.5703125" style="8"/>
    <col min="2561" max="2561" width="66.140625" style="8" customWidth="1"/>
    <col min="2562" max="2562" width="8.85546875" style="8" customWidth="1"/>
    <col min="2563" max="2816" width="7.5703125" style="8"/>
    <col min="2817" max="2817" width="66.140625" style="8" customWidth="1"/>
    <col min="2818" max="2818" width="8.85546875" style="8" customWidth="1"/>
    <col min="2819" max="3072" width="7.5703125" style="8"/>
    <col min="3073" max="3073" width="66.140625" style="8" customWidth="1"/>
    <col min="3074" max="3074" width="8.85546875" style="8" customWidth="1"/>
    <col min="3075" max="3328" width="7.5703125" style="8"/>
    <col min="3329" max="3329" width="66.140625" style="8" customWidth="1"/>
    <col min="3330" max="3330" width="8.85546875" style="8" customWidth="1"/>
    <col min="3331" max="3584" width="7.5703125" style="8"/>
    <col min="3585" max="3585" width="66.140625" style="8" customWidth="1"/>
    <col min="3586" max="3586" width="8.85546875" style="8" customWidth="1"/>
    <col min="3587" max="3840" width="7.5703125" style="8"/>
    <col min="3841" max="3841" width="66.140625" style="8" customWidth="1"/>
    <col min="3842" max="3842" width="8.85546875" style="8" customWidth="1"/>
    <col min="3843" max="4096" width="7.5703125" style="8"/>
    <col min="4097" max="4097" width="66.140625" style="8" customWidth="1"/>
    <col min="4098" max="4098" width="8.85546875" style="8" customWidth="1"/>
    <col min="4099" max="4352" width="7.5703125" style="8"/>
    <col min="4353" max="4353" width="66.140625" style="8" customWidth="1"/>
    <col min="4354" max="4354" width="8.85546875" style="8" customWidth="1"/>
    <col min="4355" max="4608" width="7.5703125" style="8"/>
    <col min="4609" max="4609" width="66.140625" style="8" customWidth="1"/>
    <col min="4610" max="4610" width="8.85546875" style="8" customWidth="1"/>
    <col min="4611" max="4864" width="7.5703125" style="8"/>
    <col min="4865" max="4865" width="66.140625" style="8" customWidth="1"/>
    <col min="4866" max="4866" width="8.85546875" style="8" customWidth="1"/>
    <col min="4867" max="5120" width="7.5703125" style="8"/>
    <col min="5121" max="5121" width="66.140625" style="8" customWidth="1"/>
    <col min="5122" max="5122" width="8.85546875" style="8" customWidth="1"/>
    <col min="5123" max="5376" width="7.5703125" style="8"/>
    <col min="5377" max="5377" width="66.140625" style="8" customWidth="1"/>
    <col min="5378" max="5378" width="8.85546875" style="8" customWidth="1"/>
    <col min="5379" max="5632" width="7.5703125" style="8"/>
    <col min="5633" max="5633" width="66.140625" style="8" customWidth="1"/>
    <col min="5634" max="5634" width="8.85546875" style="8" customWidth="1"/>
    <col min="5635" max="5888" width="7.5703125" style="8"/>
    <col min="5889" max="5889" width="66.140625" style="8" customWidth="1"/>
    <col min="5890" max="5890" width="8.85546875" style="8" customWidth="1"/>
    <col min="5891" max="6144" width="7.5703125" style="8"/>
    <col min="6145" max="6145" width="66.140625" style="8" customWidth="1"/>
    <col min="6146" max="6146" width="8.85546875" style="8" customWidth="1"/>
    <col min="6147" max="6400" width="7.5703125" style="8"/>
    <col min="6401" max="6401" width="66.140625" style="8" customWidth="1"/>
    <col min="6402" max="6402" width="8.85546875" style="8" customWidth="1"/>
    <col min="6403" max="6656" width="7.5703125" style="8"/>
    <col min="6657" max="6657" width="66.140625" style="8" customWidth="1"/>
    <col min="6658" max="6658" width="8.85546875" style="8" customWidth="1"/>
    <col min="6659" max="6912" width="7.5703125" style="8"/>
    <col min="6913" max="6913" width="66.140625" style="8" customWidth="1"/>
    <col min="6914" max="6914" width="8.85546875" style="8" customWidth="1"/>
    <col min="6915" max="7168" width="7.5703125" style="8"/>
    <col min="7169" max="7169" width="66.140625" style="8" customWidth="1"/>
    <col min="7170" max="7170" width="8.85546875" style="8" customWidth="1"/>
    <col min="7171" max="7424" width="7.5703125" style="8"/>
    <col min="7425" max="7425" width="66.140625" style="8" customWidth="1"/>
    <col min="7426" max="7426" width="8.85546875" style="8" customWidth="1"/>
    <col min="7427" max="7680" width="7.5703125" style="8"/>
    <col min="7681" max="7681" width="66.140625" style="8" customWidth="1"/>
    <col min="7682" max="7682" width="8.85546875" style="8" customWidth="1"/>
    <col min="7683" max="7936" width="7.5703125" style="8"/>
    <col min="7937" max="7937" width="66.140625" style="8" customWidth="1"/>
    <col min="7938" max="7938" width="8.85546875" style="8" customWidth="1"/>
    <col min="7939" max="8192" width="7.5703125" style="8"/>
    <col min="8193" max="8193" width="66.140625" style="8" customWidth="1"/>
    <col min="8194" max="8194" width="8.85546875" style="8" customWidth="1"/>
    <col min="8195" max="8448" width="7.5703125" style="8"/>
    <col min="8449" max="8449" width="66.140625" style="8" customWidth="1"/>
    <col min="8450" max="8450" width="8.85546875" style="8" customWidth="1"/>
    <col min="8451" max="8704" width="7.5703125" style="8"/>
    <col min="8705" max="8705" width="66.140625" style="8" customWidth="1"/>
    <col min="8706" max="8706" width="8.85546875" style="8" customWidth="1"/>
    <col min="8707" max="8960" width="7.5703125" style="8"/>
    <col min="8961" max="8961" width="66.140625" style="8" customWidth="1"/>
    <col min="8962" max="8962" width="8.85546875" style="8" customWidth="1"/>
    <col min="8963" max="9216" width="7.5703125" style="8"/>
    <col min="9217" max="9217" width="66.140625" style="8" customWidth="1"/>
    <col min="9218" max="9218" width="8.85546875" style="8" customWidth="1"/>
    <col min="9219" max="9472" width="7.5703125" style="8"/>
    <col min="9473" max="9473" width="66.140625" style="8" customWidth="1"/>
    <col min="9474" max="9474" width="8.85546875" style="8" customWidth="1"/>
    <col min="9475" max="9728" width="7.5703125" style="8"/>
    <col min="9729" max="9729" width="66.140625" style="8" customWidth="1"/>
    <col min="9730" max="9730" width="8.85546875" style="8" customWidth="1"/>
    <col min="9731" max="9984" width="7.5703125" style="8"/>
    <col min="9985" max="9985" width="66.140625" style="8" customWidth="1"/>
    <col min="9986" max="9986" width="8.85546875" style="8" customWidth="1"/>
    <col min="9987" max="10240" width="7.5703125" style="8"/>
    <col min="10241" max="10241" width="66.140625" style="8" customWidth="1"/>
    <col min="10242" max="10242" width="8.85546875" style="8" customWidth="1"/>
    <col min="10243" max="10496" width="7.5703125" style="8"/>
    <col min="10497" max="10497" width="66.140625" style="8" customWidth="1"/>
    <col min="10498" max="10498" width="8.85546875" style="8" customWidth="1"/>
    <col min="10499" max="10752" width="7.5703125" style="8"/>
    <col min="10753" max="10753" width="66.140625" style="8" customWidth="1"/>
    <col min="10754" max="10754" width="8.85546875" style="8" customWidth="1"/>
    <col min="10755" max="11008" width="7.5703125" style="8"/>
    <col min="11009" max="11009" width="66.140625" style="8" customWidth="1"/>
    <col min="11010" max="11010" width="8.85546875" style="8" customWidth="1"/>
    <col min="11011" max="11264" width="7.5703125" style="8"/>
    <col min="11265" max="11265" width="66.140625" style="8" customWidth="1"/>
    <col min="11266" max="11266" width="8.85546875" style="8" customWidth="1"/>
    <col min="11267" max="11520" width="7.5703125" style="8"/>
    <col min="11521" max="11521" width="66.140625" style="8" customWidth="1"/>
    <col min="11522" max="11522" width="8.85546875" style="8" customWidth="1"/>
    <col min="11523" max="11776" width="7.5703125" style="8"/>
    <col min="11777" max="11777" width="66.140625" style="8" customWidth="1"/>
    <col min="11778" max="11778" width="8.85546875" style="8" customWidth="1"/>
    <col min="11779" max="12032" width="7.5703125" style="8"/>
    <col min="12033" max="12033" width="66.140625" style="8" customWidth="1"/>
    <col min="12034" max="12034" width="8.85546875" style="8" customWidth="1"/>
    <col min="12035" max="12288" width="7.5703125" style="8"/>
    <col min="12289" max="12289" width="66.140625" style="8" customWidth="1"/>
    <col min="12290" max="12290" width="8.85546875" style="8" customWidth="1"/>
    <col min="12291" max="12544" width="7.5703125" style="8"/>
    <col min="12545" max="12545" width="66.140625" style="8" customWidth="1"/>
    <col min="12546" max="12546" width="8.85546875" style="8" customWidth="1"/>
    <col min="12547" max="12800" width="7.5703125" style="8"/>
    <col min="12801" max="12801" width="66.140625" style="8" customWidth="1"/>
    <col min="12802" max="12802" width="8.85546875" style="8" customWidth="1"/>
    <col min="12803" max="13056" width="7.5703125" style="8"/>
    <col min="13057" max="13057" width="66.140625" style="8" customWidth="1"/>
    <col min="13058" max="13058" width="8.85546875" style="8" customWidth="1"/>
    <col min="13059" max="13312" width="7.5703125" style="8"/>
    <col min="13313" max="13313" width="66.140625" style="8" customWidth="1"/>
    <col min="13314" max="13314" width="8.85546875" style="8" customWidth="1"/>
    <col min="13315" max="13568" width="7.5703125" style="8"/>
    <col min="13569" max="13569" width="66.140625" style="8" customWidth="1"/>
    <col min="13570" max="13570" width="8.85546875" style="8" customWidth="1"/>
    <col min="13571" max="13824" width="7.5703125" style="8"/>
    <col min="13825" max="13825" width="66.140625" style="8" customWidth="1"/>
    <col min="13826" max="13826" width="8.85546875" style="8" customWidth="1"/>
    <col min="13827" max="14080" width="7.5703125" style="8"/>
    <col min="14081" max="14081" width="66.140625" style="8" customWidth="1"/>
    <col min="14082" max="14082" width="8.85546875" style="8" customWidth="1"/>
    <col min="14083" max="14336" width="7.5703125" style="8"/>
    <col min="14337" max="14337" width="66.140625" style="8" customWidth="1"/>
    <col min="14338" max="14338" width="8.85546875" style="8" customWidth="1"/>
    <col min="14339" max="14592" width="7.5703125" style="8"/>
    <col min="14593" max="14593" width="66.140625" style="8" customWidth="1"/>
    <col min="14594" max="14594" width="8.85546875" style="8" customWidth="1"/>
    <col min="14595" max="14848" width="7.5703125" style="8"/>
    <col min="14849" max="14849" width="66.140625" style="8" customWidth="1"/>
    <col min="14850" max="14850" width="8.85546875" style="8" customWidth="1"/>
    <col min="14851" max="15104" width="7.5703125" style="8"/>
    <col min="15105" max="15105" width="66.140625" style="8" customWidth="1"/>
    <col min="15106" max="15106" width="8.85546875" style="8" customWidth="1"/>
    <col min="15107" max="15360" width="7.5703125" style="8"/>
    <col min="15361" max="15361" width="66.140625" style="8" customWidth="1"/>
    <col min="15362" max="15362" width="8.85546875" style="8" customWidth="1"/>
    <col min="15363" max="15616" width="7.5703125" style="8"/>
    <col min="15617" max="15617" width="66.140625" style="8" customWidth="1"/>
    <col min="15618" max="15618" width="8.85546875" style="8" customWidth="1"/>
    <col min="15619" max="15872" width="7.5703125" style="8"/>
    <col min="15873" max="15873" width="66.140625" style="8" customWidth="1"/>
    <col min="15874" max="15874" width="8.85546875" style="8" customWidth="1"/>
    <col min="15875" max="16128" width="7.5703125" style="8"/>
    <col min="16129" max="16129" width="66.140625" style="8" customWidth="1"/>
    <col min="16130" max="16130" width="8.85546875" style="8" customWidth="1"/>
    <col min="16131" max="16384" width="7.5703125" style="8"/>
  </cols>
  <sheetData>
    <row r="1" spans="1:20" s="19" customFormat="1" ht="17.25" customHeight="1">
      <c r="A1" s="202" t="s">
        <v>225</v>
      </c>
      <c r="B1" s="20"/>
      <c r="C1" s="20"/>
      <c r="D1" s="20"/>
      <c r="E1" s="20"/>
      <c r="F1" s="20"/>
      <c r="O1" s="213"/>
      <c r="P1" s="213"/>
      <c r="Q1" s="213"/>
      <c r="R1" s="213"/>
      <c r="S1" s="213"/>
      <c r="T1" s="213"/>
    </row>
    <row r="2" spans="1:20" ht="28.5" customHeight="1">
      <c r="A2" s="694" t="s">
        <v>439</v>
      </c>
      <c r="B2" s="694"/>
      <c r="C2" s="694"/>
      <c r="D2" s="694"/>
      <c r="E2" s="694"/>
      <c r="F2" s="694"/>
      <c r="G2" s="694"/>
      <c r="H2" s="694"/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</row>
    <row r="3" spans="1:20" ht="16.5" customHeight="1">
      <c r="D3" s="164"/>
      <c r="N3" s="9"/>
      <c r="T3" s="214" t="s">
        <v>198</v>
      </c>
    </row>
    <row r="4" spans="1:20" s="12" customFormat="1" ht="18" customHeight="1">
      <c r="A4" s="244"/>
      <c r="B4" s="245" t="s">
        <v>266</v>
      </c>
      <c r="C4" s="245" t="s">
        <v>267</v>
      </c>
      <c r="D4" s="246" t="s">
        <v>253</v>
      </c>
      <c r="E4" s="245" t="s">
        <v>506</v>
      </c>
      <c r="F4" s="247" t="s">
        <v>227</v>
      </c>
      <c r="G4" s="247" t="s">
        <v>228</v>
      </c>
      <c r="H4" s="247" t="s">
        <v>229</v>
      </c>
      <c r="I4" s="248" t="s">
        <v>230</v>
      </c>
      <c r="J4" s="249" t="s">
        <v>231</v>
      </c>
      <c r="K4" s="248" t="s">
        <v>232</v>
      </c>
      <c r="L4" s="249" t="s">
        <v>233</v>
      </c>
      <c r="M4" s="248" t="s">
        <v>234</v>
      </c>
      <c r="N4" s="249" t="s">
        <v>235</v>
      </c>
      <c r="O4" s="249" t="s">
        <v>200</v>
      </c>
      <c r="P4" s="249" t="s">
        <v>201</v>
      </c>
      <c r="Q4" s="249" t="s">
        <v>202</v>
      </c>
      <c r="R4" s="249" t="s">
        <v>203</v>
      </c>
      <c r="S4" s="249" t="s">
        <v>204</v>
      </c>
      <c r="T4" s="249" t="s">
        <v>414</v>
      </c>
    </row>
    <row r="5" spans="1:20">
      <c r="A5" s="207" t="s">
        <v>531</v>
      </c>
      <c r="B5" s="206">
        <v>3643</v>
      </c>
      <c r="C5" s="204">
        <v>3615.2</v>
      </c>
      <c r="D5" s="205">
        <v>3588</v>
      </c>
      <c r="E5" s="204">
        <v>3562.3</v>
      </c>
      <c r="F5" s="206">
        <v>3536.4</v>
      </c>
      <c r="G5" s="206">
        <v>3512.1</v>
      </c>
      <c r="H5" s="204">
        <v>3487</v>
      </c>
      <c r="I5" s="204">
        <v>3454.6</v>
      </c>
      <c r="J5" s="204">
        <v>3431.5</v>
      </c>
      <c r="K5" s="204">
        <v>3398.9</v>
      </c>
      <c r="L5" s="204">
        <v>3355.2</v>
      </c>
      <c r="M5" s="204">
        <v>3289.9</v>
      </c>
      <c r="N5" s="204">
        <v>3250</v>
      </c>
      <c r="O5" s="215">
        <v>3142</v>
      </c>
      <c r="P5" s="11">
        <v>3052.6</v>
      </c>
      <c r="Q5" s="11">
        <v>3003.6</v>
      </c>
      <c r="R5" s="11">
        <v>2971.9</v>
      </c>
      <c r="S5" s="11">
        <v>2943.4</v>
      </c>
      <c r="T5" s="11">
        <v>2921.5</v>
      </c>
    </row>
    <row r="6" spans="1:20" s="17" customFormat="1">
      <c r="A6" s="216" t="s">
        <v>507</v>
      </c>
      <c r="B6" s="217">
        <v>2110.8000000000002</v>
      </c>
      <c r="C6" s="217">
        <v>2121.3000000000002</v>
      </c>
      <c r="D6" s="217">
        <v>2128.6</v>
      </c>
      <c r="E6" s="217">
        <v>2135.4</v>
      </c>
      <c r="F6" s="217">
        <v>2148.3000000000002</v>
      </c>
      <c r="G6" s="217">
        <v>2163.8000000000002</v>
      </c>
      <c r="H6" s="218">
        <v>2025.3</v>
      </c>
      <c r="I6" s="217">
        <v>2030.2</v>
      </c>
      <c r="J6" s="218">
        <v>2048.9</v>
      </c>
      <c r="K6" s="217">
        <v>2055.1999999999998</v>
      </c>
      <c r="L6" s="218">
        <v>2043.5</v>
      </c>
      <c r="M6" s="218">
        <v>2015.6</v>
      </c>
      <c r="N6" s="217">
        <v>2010.9</v>
      </c>
      <c r="O6" s="220">
        <v>1963.7</v>
      </c>
      <c r="P6" s="219">
        <v>1890.4</v>
      </c>
      <c r="Q6" s="219">
        <v>1850.7</v>
      </c>
      <c r="R6" s="220">
        <v>1834</v>
      </c>
      <c r="S6" s="219">
        <v>1820.5</v>
      </c>
      <c r="T6" s="219">
        <v>1810.8</v>
      </c>
    </row>
    <row r="7" spans="1:20">
      <c r="A7" s="207" t="s">
        <v>508</v>
      </c>
      <c r="B7" s="206">
        <v>1643.6</v>
      </c>
      <c r="C7" s="204">
        <v>1659</v>
      </c>
      <c r="D7" s="208">
        <v>1669.2</v>
      </c>
      <c r="E7" s="206">
        <v>1489.4</v>
      </c>
      <c r="F7" s="206">
        <v>1456.5</v>
      </c>
      <c r="G7" s="218">
        <v>1397.8</v>
      </c>
      <c r="H7" s="204">
        <v>1351.8</v>
      </c>
      <c r="I7" s="206">
        <v>1405.9</v>
      </c>
      <c r="J7" s="204">
        <v>1438</v>
      </c>
      <c r="K7" s="204">
        <v>1436.3</v>
      </c>
      <c r="L7" s="204">
        <v>1473.9</v>
      </c>
      <c r="M7" s="204">
        <v>1499</v>
      </c>
      <c r="N7" s="204">
        <v>1451.5</v>
      </c>
      <c r="O7" s="215">
        <v>1247.7</v>
      </c>
      <c r="P7" s="11">
        <v>1253.5999999999999</v>
      </c>
      <c r="Q7" s="11">
        <v>1275.7</v>
      </c>
      <c r="R7" s="11">
        <v>1292.8</v>
      </c>
      <c r="S7" s="11">
        <v>1319</v>
      </c>
      <c r="T7" s="11">
        <v>1334.9</v>
      </c>
    </row>
    <row r="8" spans="1:20">
      <c r="A8" s="207" t="s">
        <v>618</v>
      </c>
      <c r="B8" s="204">
        <v>109</v>
      </c>
      <c r="C8" s="206">
        <v>124.5</v>
      </c>
      <c r="D8" s="208">
        <v>104.5</v>
      </c>
      <c r="E8" s="206">
        <v>226.7</v>
      </c>
      <c r="F8" s="204">
        <v>249</v>
      </c>
      <c r="G8" s="217">
        <v>273.7</v>
      </c>
      <c r="H8" s="217">
        <v>284</v>
      </c>
      <c r="I8" s="217">
        <v>224.4</v>
      </c>
      <c r="J8" s="218">
        <v>203.9</v>
      </c>
      <c r="K8" s="217">
        <v>173.4</v>
      </c>
      <c r="L8" s="218">
        <v>130.30000000000001</v>
      </c>
      <c r="M8" s="217">
        <v>87.7</v>
      </c>
      <c r="N8" s="204">
        <v>64.400000000000006</v>
      </c>
      <c r="O8" s="642">
        <v>270</v>
      </c>
      <c r="P8" s="11">
        <v>228</v>
      </c>
      <c r="Q8" s="11">
        <v>195</v>
      </c>
      <c r="R8" s="11">
        <v>173</v>
      </c>
      <c r="S8" s="11">
        <v>158</v>
      </c>
      <c r="T8" s="11">
        <v>134</v>
      </c>
    </row>
    <row r="9" spans="1:20" s="13" customFormat="1" ht="16.5" customHeight="1">
      <c r="A9" s="221" t="s">
        <v>613</v>
      </c>
      <c r="B9" s="222">
        <f>B10+B33</f>
        <v>1331.6399999999999</v>
      </c>
      <c r="C9" s="222">
        <f>C10+C33</f>
        <v>1325.1</v>
      </c>
      <c r="D9" s="223">
        <f>D10+D33</f>
        <v>1325.0229999999999</v>
      </c>
      <c r="E9" s="222">
        <f>E10+E33</f>
        <v>1345.52</v>
      </c>
      <c r="F9" s="222">
        <f t="shared" ref="F9:T9" si="0">F10+F33+F34</f>
        <v>1318.07</v>
      </c>
      <c r="G9" s="222">
        <f t="shared" si="0"/>
        <v>1273.5200000000004</v>
      </c>
      <c r="H9" s="224">
        <f t="shared" si="0"/>
        <v>1273.4100000000001</v>
      </c>
      <c r="I9" s="224">
        <f t="shared" si="0"/>
        <v>1305.1099999999999</v>
      </c>
      <c r="J9" s="224">
        <f t="shared" si="0"/>
        <v>1320.01</v>
      </c>
      <c r="K9" s="224">
        <f t="shared" si="0"/>
        <v>1338.61</v>
      </c>
      <c r="L9" s="224">
        <f t="shared" si="0"/>
        <v>1369.7099999999996</v>
      </c>
      <c r="M9" s="224">
        <f t="shared" si="0"/>
        <v>1421.41</v>
      </c>
      <c r="N9" s="224">
        <f t="shared" si="0"/>
        <v>1467.2299999999998</v>
      </c>
      <c r="O9" s="225">
        <f t="shared" si="0"/>
        <v>1252.7399999999996</v>
      </c>
      <c r="P9" s="225">
        <f t="shared" si="0"/>
        <v>1304.4599999999996</v>
      </c>
      <c r="Q9" s="225">
        <f t="shared" si="0"/>
        <v>1342.2899999999997</v>
      </c>
      <c r="R9" s="225">
        <f t="shared" si="0"/>
        <v>1347.6899999999998</v>
      </c>
      <c r="S9" s="225">
        <f t="shared" si="0"/>
        <v>1376.8909999999998</v>
      </c>
      <c r="T9" s="225">
        <f t="shared" si="0"/>
        <v>1405.413</v>
      </c>
    </row>
    <row r="10" spans="1:20" s="14" customFormat="1" ht="18.75" customHeight="1">
      <c r="A10" s="226" t="s">
        <v>205</v>
      </c>
      <c r="B10" s="227">
        <f>B11+B12+B17+B19+B20+B21</f>
        <v>1330.87</v>
      </c>
      <c r="C10" s="227">
        <f>C11+C12+C17+C19+C20+C21</f>
        <v>1324.6999999999998</v>
      </c>
      <c r="D10" s="228">
        <f>SUM(D11:D21)</f>
        <v>1324.5629999999999</v>
      </c>
      <c r="E10" s="227">
        <f>SUM(E11:E21)</f>
        <v>1344.76</v>
      </c>
      <c r="F10" s="227">
        <f>SUM(F11:F22)</f>
        <v>1317.23</v>
      </c>
      <c r="G10" s="227">
        <f t="shared" ref="G10:L10" si="1">SUM(G11:G24)</f>
        <v>1272.5000000000005</v>
      </c>
      <c r="H10" s="227">
        <f t="shared" si="1"/>
        <v>1272.6000000000001</v>
      </c>
      <c r="I10" s="229">
        <f t="shared" si="1"/>
        <v>1304.3</v>
      </c>
      <c r="J10" s="229">
        <f t="shared" si="1"/>
        <v>1319.2</v>
      </c>
      <c r="K10" s="229">
        <f t="shared" si="1"/>
        <v>1336.6</v>
      </c>
      <c r="L10" s="229">
        <f t="shared" si="1"/>
        <v>1367.0999999999997</v>
      </c>
      <c r="M10" s="229">
        <f>SUM(M11:M25)</f>
        <v>1419</v>
      </c>
      <c r="N10" s="229">
        <f>SUM(N11:N25)</f>
        <v>1464.9199999999998</v>
      </c>
      <c r="O10" s="230">
        <f>SUM(O11:O27)</f>
        <v>1251.8299999999995</v>
      </c>
      <c r="P10" s="230">
        <f>SUM(P11:P28)</f>
        <v>1303.7499999999995</v>
      </c>
      <c r="Q10" s="230">
        <f>SUM(Q11:Q28)</f>
        <v>1341.6799999999998</v>
      </c>
      <c r="R10" s="230">
        <f>SUM(R11:R28)</f>
        <v>1346.4799999999998</v>
      </c>
      <c r="S10" s="230">
        <f>SUM(S11:S28)</f>
        <v>1375.78</v>
      </c>
      <c r="T10" s="230">
        <f>SUM(T11:T28)</f>
        <v>1404.9</v>
      </c>
    </row>
    <row r="11" spans="1:20">
      <c r="A11" s="207" t="s">
        <v>206</v>
      </c>
      <c r="B11" s="206">
        <v>1258.5999999999999</v>
      </c>
      <c r="C11" s="206">
        <v>1220.0999999999999</v>
      </c>
      <c r="D11" s="205">
        <v>1222.5429999999999</v>
      </c>
      <c r="E11" s="206">
        <v>1246.4000000000001</v>
      </c>
      <c r="F11" s="206">
        <v>1200.9000000000001</v>
      </c>
      <c r="G11" s="206">
        <v>1137.4000000000001</v>
      </c>
      <c r="H11" s="206">
        <v>1112</v>
      </c>
      <c r="I11" s="206">
        <v>1126.5</v>
      </c>
      <c r="J11" s="206">
        <v>1154.5</v>
      </c>
      <c r="K11" s="204">
        <v>1192.3</v>
      </c>
      <c r="L11" s="206">
        <v>1223.5999999999999</v>
      </c>
      <c r="M11" s="206">
        <v>1268.9000000000001</v>
      </c>
      <c r="N11" s="206">
        <v>1321.7</v>
      </c>
      <c r="O11" s="11">
        <v>1129.8</v>
      </c>
      <c r="P11" s="11">
        <v>1175.7</v>
      </c>
      <c r="Q11" s="11">
        <v>1219</v>
      </c>
      <c r="R11" s="11">
        <v>1242.0999999999999</v>
      </c>
      <c r="S11" s="11">
        <v>1270.9000000000001</v>
      </c>
      <c r="T11" s="11">
        <v>1288</v>
      </c>
    </row>
    <row r="12" spans="1:20">
      <c r="A12" s="207" t="s">
        <v>207</v>
      </c>
      <c r="B12" s="206">
        <v>34.9</v>
      </c>
      <c r="C12" s="206">
        <v>36.9</v>
      </c>
      <c r="D12" s="205">
        <v>39.899000000000001</v>
      </c>
      <c r="E12" s="204">
        <v>39.69</v>
      </c>
      <c r="F12" s="206">
        <v>38.700000000000003</v>
      </c>
      <c r="G12" s="206">
        <v>40.200000000000003</v>
      </c>
      <c r="H12" s="206">
        <v>33.200000000000003</v>
      </c>
      <c r="I12" s="206">
        <v>43.6</v>
      </c>
      <c r="J12" s="206">
        <v>33</v>
      </c>
      <c r="K12" s="204">
        <v>30</v>
      </c>
      <c r="L12" s="206">
        <v>28.1</v>
      </c>
      <c r="M12" s="206">
        <v>24.5</v>
      </c>
      <c r="N12" s="206">
        <v>22.6</v>
      </c>
      <c r="O12" s="11">
        <v>16.3</v>
      </c>
      <c r="P12" s="11">
        <v>2.2999999999999998</v>
      </c>
      <c r="Q12" s="11">
        <v>2.2000000000000002</v>
      </c>
      <c r="R12" s="11">
        <v>2.2000000000000002</v>
      </c>
      <c r="S12" s="11">
        <v>2.1</v>
      </c>
      <c r="T12" s="11">
        <v>11</v>
      </c>
    </row>
    <row r="13" spans="1:20">
      <c r="A13" s="207" t="s">
        <v>637</v>
      </c>
      <c r="B13" s="206"/>
      <c r="C13" s="206"/>
      <c r="D13" s="205"/>
      <c r="E13" s="204"/>
      <c r="F13" s="206">
        <v>17.2</v>
      </c>
      <c r="G13" s="206">
        <v>30.2</v>
      </c>
      <c r="H13" s="206">
        <v>26.9</v>
      </c>
      <c r="I13" s="206">
        <v>28.4</v>
      </c>
      <c r="J13" s="206">
        <v>28.3</v>
      </c>
      <c r="K13" s="204">
        <v>28.1</v>
      </c>
      <c r="L13" s="206">
        <v>24.7</v>
      </c>
      <c r="M13" s="206">
        <v>24.6</v>
      </c>
      <c r="N13" s="204">
        <v>28</v>
      </c>
      <c r="O13" s="11">
        <v>11.6</v>
      </c>
      <c r="P13" s="11">
        <v>11.2</v>
      </c>
      <c r="Q13" s="11">
        <v>9</v>
      </c>
      <c r="R13" s="11">
        <v>8.6999999999999993</v>
      </c>
      <c r="S13" s="11">
        <v>8.6999999999999993</v>
      </c>
      <c r="T13" s="11">
        <v>8.6999999999999993</v>
      </c>
    </row>
    <row r="14" spans="1:20">
      <c r="A14" s="207" t="s">
        <v>638</v>
      </c>
      <c r="B14" s="206"/>
      <c r="C14" s="206"/>
      <c r="D14" s="205"/>
      <c r="E14" s="204"/>
      <c r="F14" s="206">
        <v>0.2</v>
      </c>
      <c r="G14" s="206">
        <v>0.4</v>
      </c>
      <c r="H14" s="206">
        <v>0.3</v>
      </c>
      <c r="I14" s="206">
        <v>0.8</v>
      </c>
      <c r="J14" s="206">
        <v>0.5</v>
      </c>
      <c r="K14" s="204">
        <v>0.4</v>
      </c>
      <c r="L14" s="206">
        <v>0.3</v>
      </c>
      <c r="M14" s="206">
        <v>0.3</v>
      </c>
      <c r="N14" s="206">
        <v>0.3</v>
      </c>
      <c r="O14" s="11">
        <v>0.2</v>
      </c>
      <c r="P14" s="11">
        <v>0.1</v>
      </c>
      <c r="Q14" s="11">
        <v>0.1</v>
      </c>
      <c r="R14" s="11">
        <v>0.1</v>
      </c>
      <c r="S14" s="11">
        <v>0.1</v>
      </c>
      <c r="T14" s="11">
        <v>0.2</v>
      </c>
    </row>
    <row r="15" spans="1:20">
      <c r="A15" s="207" t="s">
        <v>639</v>
      </c>
      <c r="B15" s="206"/>
      <c r="C15" s="206"/>
      <c r="D15" s="205"/>
      <c r="E15" s="204"/>
      <c r="F15" s="206">
        <v>0.04</v>
      </c>
      <c r="G15" s="206">
        <v>0.2</v>
      </c>
      <c r="H15" s="206">
        <v>1.1000000000000001</v>
      </c>
      <c r="I15" s="206">
        <v>0.1</v>
      </c>
      <c r="J15" s="206">
        <v>0.1</v>
      </c>
      <c r="K15" s="204">
        <v>0.1</v>
      </c>
      <c r="L15" s="206">
        <v>0.1</v>
      </c>
      <c r="M15" s="206">
        <v>0.1</v>
      </c>
      <c r="N15" s="206">
        <v>0.02</v>
      </c>
      <c r="O15" s="11">
        <v>0.04</v>
      </c>
      <c r="P15" s="11">
        <v>0.01</v>
      </c>
      <c r="Q15" s="11">
        <v>0.01</v>
      </c>
      <c r="R15" s="11">
        <v>0.01</v>
      </c>
      <c r="S15" s="11">
        <v>0.01</v>
      </c>
      <c r="T15" s="11">
        <v>0.02</v>
      </c>
    </row>
    <row r="16" spans="1:20">
      <c r="A16" s="207" t="s">
        <v>640</v>
      </c>
      <c r="B16" s="206"/>
      <c r="C16" s="206"/>
      <c r="D16" s="205"/>
      <c r="E16" s="204"/>
      <c r="F16" s="206">
        <v>0.7</v>
      </c>
      <c r="G16" s="206">
        <v>0.8</v>
      </c>
      <c r="H16" s="206">
        <v>0.9</v>
      </c>
      <c r="I16" s="206">
        <v>1.1000000000000001</v>
      </c>
      <c r="J16" s="206">
        <v>1.4</v>
      </c>
      <c r="K16" s="204">
        <v>3.2</v>
      </c>
      <c r="L16" s="204">
        <v>5</v>
      </c>
      <c r="M16" s="206">
        <v>7.9</v>
      </c>
      <c r="N16" s="206">
        <v>10.3</v>
      </c>
      <c r="O16" s="11">
        <v>3.1</v>
      </c>
      <c r="P16" s="11">
        <v>1.5</v>
      </c>
      <c r="Q16" s="11">
        <v>1.5</v>
      </c>
      <c r="R16" s="11">
        <v>2.2999999999999998</v>
      </c>
      <c r="S16" s="11">
        <v>2.2000000000000002</v>
      </c>
      <c r="T16" s="11">
        <v>2.5</v>
      </c>
    </row>
    <row r="17" spans="1:20" ht="12" customHeight="1">
      <c r="A17" s="207" t="s">
        <v>629</v>
      </c>
      <c r="B17" s="206">
        <v>1.27</v>
      </c>
      <c r="C17" s="206">
        <v>1.6</v>
      </c>
      <c r="D17" s="231">
        <v>1.4059999999999999</v>
      </c>
      <c r="E17" s="206">
        <v>1.74</v>
      </c>
      <c r="F17" s="206">
        <v>2.2000000000000002</v>
      </c>
      <c r="G17" s="204">
        <v>4</v>
      </c>
      <c r="H17" s="206">
        <v>6.2</v>
      </c>
      <c r="I17" s="206">
        <v>6.8</v>
      </c>
      <c r="J17" s="204">
        <v>5</v>
      </c>
      <c r="K17" s="204">
        <v>0</v>
      </c>
      <c r="L17" s="232" t="s">
        <v>209</v>
      </c>
      <c r="M17" s="232" t="s">
        <v>209</v>
      </c>
      <c r="N17" s="232" t="s">
        <v>209</v>
      </c>
      <c r="O17" s="11">
        <v>13.8</v>
      </c>
      <c r="P17" s="11">
        <v>14.1</v>
      </c>
      <c r="Q17" s="11">
        <v>14.1</v>
      </c>
      <c r="R17" s="11">
        <v>13.9</v>
      </c>
      <c r="S17" s="11">
        <v>13.7</v>
      </c>
      <c r="T17" s="11">
        <v>14.1</v>
      </c>
    </row>
    <row r="18" spans="1:20" ht="9" hidden="1" customHeight="1">
      <c r="A18" s="207" t="s">
        <v>208</v>
      </c>
      <c r="B18" s="206"/>
      <c r="C18" s="206"/>
      <c r="D18" s="231"/>
      <c r="E18" s="206"/>
      <c r="F18" s="206"/>
      <c r="G18" s="206">
        <v>0.1</v>
      </c>
      <c r="H18" s="206">
        <v>0.3</v>
      </c>
      <c r="I18" s="206">
        <v>0.4</v>
      </c>
      <c r="J18" s="206">
        <v>0.1</v>
      </c>
      <c r="K18" s="204">
        <v>0</v>
      </c>
      <c r="L18" s="232" t="s">
        <v>209</v>
      </c>
      <c r="M18" s="232" t="s">
        <v>209</v>
      </c>
      <c r="N18" s="232" t="s">
        <v>209</v>
      </c>
      <c r="O18" s="11"/>
      <c r="P18" s="11"/>
      <c r="Q18" s="11"/>
      <c r="R18" s="11"/>
      <c r="S18" s="11"/>
      <c r="T18" s="11"/>
    </row>
    <row r="19" spans="1:20">
      <c r="A19" s="207" t="s">
        <v>535</v>
      </c>
      <c r="B19" s="206">
        <v>30.8</v>
      </c>
      <c r="C19" s="206">
        <v>32.299999999999997</v>
      </c>
      <c r="D19" s="205">
        <v>33.396000000000001</v>
      </c>
      <c r="E19" s="204">
        <v>33.869999999999997</v>
      </c>
      <c r="F19" s="206">
        <v>33.799999999999997</v>
      </c>
      <c r="G19" s="206">
        <v>33.700000000000003</v>
      </c>
      <c r="H19" s="206">
        <v>31.5</v>
      </c>
      <c r="I19" s="206">
        <v>31.8</v>
      </c>
      <c r="J19" s="206">
        <v>31.7</v>
      </c>
      <c r="K19" s="204">
        <v>31.5</v>
      </c>
      <c r="L19" s="206">
        <v>31.2</v>
      </c>
      <c r="M19" s="206">
        <v>31.1</v>
      </c>
      <c r="N19" s="206">
        <v>30.6</v>
      </c>
      <c r="O19" s="11">
        <v>31.8</v>
      </c>
      <c r="P19" s="11">
        <v>30.8</v>
      </c>
      <c r="Q19" s="11">
        <v>29.5</v>
      </c>
      <c r="R19" s="11">
        <v>28.7</v>
      </c>
      <c r="S19" s="11">
        <v>28.8</v>
      </c>
      <c r="T19" s="11">
        <v>28.9</v>
      </c>
    </row>
    <row r="20" spans="1:20" ht="13.15" customHeight="1">
      <c r="A20" s="207" t="s">
        <v>630</v>
      </c>
      <c r="B20" s="206">
        <v>5.3</v>
      </c>
      <c r="C20" s="206">
        <v>5.2</v>
      </c>
      <c r="D20" s="205">
        <v>4.8150000000000004</v>
      </c>
      <c r="E20" s="204">
        <v>5.0999999999999996</v>
      </c>
      <c r="F20" s="206">
        <v>5.6</v>
      </c>
      <c r="G20" s="206">
        <v>5.4</v>
      </c>
      <c r="H20" s="206">
        <v>5.4</v>
      </c>
      <c r="I20" s="206">
        <v>5.7</v>
      </c>
      <c r="J20" s="206">
        <v>5</v>
      </c>
      <c r="K20" s="204">
        <v>3.3</v>
      </c>
      <c r="L20" s="206">
        <v>3.2</v>
      </c>
      <c r="M20" s="206">
        <v>2.4</v>
      </c>
      <c r="N20" s="206">
        <v>2.4</v>
      </c>
      <c r="O20" s="11">
        <v>7.0000000000000007E-2</v>
      </c>
      <c r="P20" s="11">
        <v>0.08</v>
      </c>
      <c r="Q20" s="11">
        <v>0.1</v>
      </c>
      <c r="R20" s="11">
        <v>0.1</v>
      </c>
      <c r="S20" s="11">
        <v>0.2</v>
      </c>
      <c r="T20" s="11">
        <v>0.7</v>
      </c>
    </row>
    <row r="21" spans="1:20" ht="13.9" customHeight="1">
      <c r="A21" s="207" t="s">
        <v>210</v>
      </c>
      <c r="B21" s="233"/>
      <c r="C21" s="206">
        <v>28.6</v>
      </c>
      <c r="D21" s="205">
        <v>22.504000000000001</v>
      </c>
      <c r="E21" s="204">
        <v>17.96</v>
      </c>
      <c r="F21" s="206">
        <v>17.8</v>
      </c>
      <c r="G21" s="206">
        <v>16.5</v>
      </c>
      <c r="H21" s="206">
        <v>50.4</v>
      </c>
      <c r="I21" s="206">
        <v>48</v>
      </c>
      <c r="J21" s="206">
        <v>46.9</v>
      </c>
      <c r="K21" s="204">
        <v>42.7</v>
      </c>
      <c r="L21" s="206">
        <v>45.8</v>
      </c>
      <c r="M21" s="206">
        <v>53.1</v>
      </c>
      <c r="N21" s="206">
        <v>38.4</v>
      </c>
      <c r="O21" s="11">
        <v>28</v>
      </c>
      <c r="P21" s="11">
        <v>30.6</v>
      </c>
      <c r="Q21" s="11">
        <v>31.6</v>
      </c>
      <c r="R21" s="11">
        <v>33.700000000000003</v>
      </c>
      <c r="S21" s="215">
        <v>34</v>
      </c>
      <c r="T21" s="11">
        <v>33.299999999999997</v>
      </c>
    </row>
    <row r="22" spans="1:20">
      <c r="A22" s="207" t="s">
        <v>534</v>
      </c>
      <c r="B22" s="206"/>
      <c r="C22" s="206"/>
      <c r="D22" s="231"/>
      <c r="E22" s="206"/>
      <c r="F22" s="206">
        <v>0.09</v>
      </c>
      <c r="G22" s="206">
        <v>0.5</v>
      </c>
      <c r="H22" s="206">
        <v>0.6</v>
      </c>
      <c r="I22" s="206">
        <v>0.7</v>
      </c>
      <c r="J22" s="206">
        <v>0.8</v>
      </c>
      <c r="K22" s="204">
        <v>0.8</v>
      </c>
      <c r="L22" s="206">
        <v>0.9</v>
      </c>
      <c r="M22" s="206">
        <v>0.9</v>
      </c>
      <c r="N22" s="204">
        <v>1</v>
      </c>
      <c r="O22" s="11">
        <v>1.3</v>
      </c>
      <c r="P22" s="11">
        <v>1.3</v>
      </c>
      <c r="Q22" s="11">
        <v>1.2</v>
      </c>
      <c r="R22" s="11">
        <v>1.2</v>
      </c>
      <c r="S22" s="11">
        <v>1.2</v>
      </c>
      <c r="T22" s="11">
        <v>1.2</v>
      </c>
    </row>
    <row r="23" spans="1:20" s="12" customFormat="1" ht="25.5">
      <c r="A23" s="207" t="s">
        <v>211</v>
      </c>
      <c r="B23" s="10"/>
      <c r="C23" s="10"/>
      <c r="D23" s="234"/>
      <c r="E23" s="10"/>
      <c r="F23" s="10"/>
      <c r="G23" s="10">
        <v>0.4</v>
      </c>
      <c r="H23" s="10">
        <v>0.8</v>
      </c>
      <c r="I23" s="10">
        <v>0.9</v>
      </c>
      <c r="J23" s="10">
        <v>1</v>
      </c>
      <c r="K23" s="212">
        <v>1.3</v>
      </c>
      <c r="L23" s="10">
        <v>1.6</v>
      </c>
      <c r="M23" s="10">
        <v>1.7</v>
      </c>
      <c r="N23" s="10">
        <v>1.8</v>
      </c>
      <c r="O23" s="11">
        <v>2.5</v>
      </c>
      <c r="P23" s="11">
        <v>2.7</v>
      </c>
      <c r="Q23" s="11">
        <v>2.9</v>
      </c>
      <c r="R23" s="11">
        <v>3</v>
      </c>
      <c r="S23" s="11">
        <v>3.3</v>
      </c>
      <c r="T23" s="11">
        <v>3.4</v>
      </c>
    </row>
    <row r="24" spans="1:20" s="12" customFormat="1" ht="24.75" customHeight="1">
      <c r="A24" s="207" t="s">
        <v>533</v>
      </c>
      <c r="B24" s="10"/>
      <c r="C24" s="10"/>
      <c r="D24" s="234"/>
      <c r="E24" s="10"/>
      <c r="F24" s="10"/>
      <c r="G24" s="10">
        <v>2.7</v>
      </c>
      <c r="H24" s="10">
        <v>3</v>
      </c>
      <c r="I24" s="10">
        <v>9.5</v>
      </c>
      <c r="J24" s="10">
        <v>10.9</v>
      </c>
      <c r="K24" s="212">
        <v>2.9</v>
      </c>
      <c r="L24" s="10">
        <v>2.6</v>
      </c>
      <c r="M24" s="10">
        <v>2.7</v>
      </c>
      <c r="N24" s="10">
        <v>2.6</v>
      </c>
      <c r="O24" s="11">
        <v>2.5</v>
      </c>
      <c r="P24" s="11">
        <v>2.6</v>
      </c>
      <c r="Q24" s="11">
        <v>2.5</v>
      </c>
      <c r="R24" s="11">
        <v>2.6</v>
      </c>
      <c r="S24" s="11">
        <v>2.8</v>
      </c>
      <c r="T24" s="11">
        <v>2.5</v>
      </c>
    </row>
    <row r="25" spans="1:20" s="12" customFormat="1" ht="38.25" customHeight="1">
      <c r="A25" s="207" t="s">
        <v>628</v>
      </c>
      <c r="B25" s="10"/>
      <c r="C25" s="10"/>
      <c r="D25" s="234"/>
      <c r="E25" s="10"/>
      <c r="F25" s="10"/>
      <c r="G25" s="10"/>
      <c r="H25" s="10"/>
      <c r="I25" s="10"/>
      <c r="J25" s="10"/>
      <c r="K25" s="212"/>
      <c r="L25" s="10"/>
      <c r="M25" s="10">
        <v>0.8</v>
      </c>
      <c r="N25" s="10">
        <v>5.2</v>
      </c>
      <c r="O25" s="11">
        <v>7.5</v>
      </c>
      <c r="P25" s="215">
        <v>7</v>
      </c>
      <c r="Q25" s="11">
        <v>7.2</v>
      </c>
      <c r="R25" s="11">
        <v>7.8</v>
      </c>
      <c r="S25" s="11">
        <v>7.5</v>
      </c>
      <c r="T25" s="11">
        <v>8.6</v>
      </c>
    </row>
    <row r="26" spans="1:20" s="12" customFormat="1">
      <c r="A26" s="207" t="s">
        <v>631</v>
      </c>
      <c r="B26" s="10"/>
      <c r="C26" s="10"/>
      <c r="D26" s="234"/>
      <c r="E26" s="10"/>
      <c r="F26" s="10"/>
      <c r="G26" s="10"/>
      <c r="H26" s="10"/>
      <c r="I26" s="10"/>
      <c r="J26" s="10"/>
      <c r="K26" s="212"/>
      <c r="L26" s="10"/>
      <c r="M26" s="10"/>
      <c r="N26" s="10"/>
      <c r="O26" s="11">
        <v>3.3</v>
      </c>
      <c r="P26" s="11">
        <v>23.7</v>
      </c>
      <c r="Q26" s="11">
        <v>20.7</v>
      </c>
      <c r="R26" s="235" t="s">
        <v>209</v>
      </c>
      <c r="S26" s="235" t="s">
        <v>209</v>
      </c>
      <c r="T26" s="235" t="s">
        <v>209</v>
      </c>
    </row>
    <row r="27" spans="1:20" s="12" customFormat="1">
      <c r="A27" s="207" t="s">
        <v>632</v>
      </c>
      <c r="B27" s="10"/>
      <c r="C27" s="10"/>
      <c r="D27" s="234"/>
      <c r="E27" s="10"/>
      <c r="F27" s="10"/>
      <c r="G27" s="10"/>
      <c r="H27" s="10"/>
      <c r="I27" s="10"/>
      <c r="J27" s="10"/>
      <c r="K27" s="212"/>
      <c r="L27" s="10"/>
      <c r="M27" s="10"/>
      <c r="N27" s="10"/>
      <c r="O27" s="11">
        <v>0.02</v>
      </c>
      <c r="P27" s="11">
        <v>0.06</v>
      </c>
      <c r="Q27" s="11">
        <v>7.0000000000000007E-2</v>
      </c>
      <c r="R27" s="11">
        <v>7.0000000000000007E-2</v>
      </c>
      <c r="S27" s="11">
        <v>7.0000000000000007E-2</v>
      </c>
      <c r="T27" s="11">
        <v>0.08</v>
      </c>
    </row>
    <row r="28" spans="1:20" s="12" customFormat="1">
      <c r="A28" s="216" t="s">
        <v>633</v>
      </c>
      <c r="B28" s="10"/>
      <c r="C28" s="10"/>
      <c r="D28" s="234"/>
      <c r="E28" s="10"/>
      <c r="F28" s="10"/>
      <c r="G28" s="10"/>
      <c r="H28" s="10"/>
      <c r="I28" s="10"/>
      <c r="J28" s="10"/>
      <c r="K28" s="212"/>
      <c r="L28" s="10"/>
      <c r="M28" s="10"/>
      <c r="N28" s="10"/>
      <c r="O28" s="11"/>
      <c r="P28" s="219"/>
      <c r="Q28" s="219"/>
      <c r="R28" s="219"/>
      <c r="S28" s="11">
        <v>0.2</v>
      </c>
      <c r="T28" s="11">
        <v>1.7</v>
      </c>
    </row>
    <row r="29" spans="1:20" ht="13.5" customHeight="1">
      <c r="A29" s="207" t="s">
        <v>212</v>
      </c>
      <c r="B29" s="206"/>
      <c r="C29" s="206"/>
      <c r="D29" s="231"/>
      <c r="E29" s="206"/>
      <c r="F29" s="206"/>
      <c r="G29" s="206"/>
      <c r="H29" s="206"/>
      <c r="I29" s="206">
        <v>0.1</v>
      </c>
      <c r="J29" s="206">
        <v>2.6</v>
      </c>
      <c r="K29" s="204">
        <v>3.7</v>
      </c>
      <c r="L29" s="206">
        <v>5.0999999999999996</v>
      </c>
      <c r="M29" s="206">
        <v>5.9</v>
      </c>
      <c r="N29" s="206">
        <v>6.7</v>
      </c>
      <c r="O29" s="236" t="s">
        <v>209</v>
      </c>
      <c r="P29" s="236" t="s">
        <v>209</v>
      </c>
      <c r="Q29" s="236" t="s">
        <v>209</v>
      </c>
      <c r="R29" s="235" t="s">
        <v>209</v>
      </c>
      <c r="S29" s="11"/>
      <c r="T29" s="11"/>
    </row>
    <row r="30" spans="1:20" ht="26.25" customHeight="1">
      <c r="A30" s="207" t="s">
        <v>634</v>
      </c>
      <c r="B30" s="206"/>
      <c r="C30" s="206"/>
      <c r="D30" s="231"/>
      <c r="E30" s="206"/>
      <c r="F30" s="206"/>
      <c r="G30" s="206"/>
      <c r="H30" s="206"/>
      <c r="I30" s="206"/>
      <c r="J30" s="206"/>
      <c r="K30" s="204"/>
      <c r="L30" s="206"/>
      <c r="M30" s="206"/>
      <c r="N30" s="206"/>
      <c r="O30" s="11">
        <v>16.8</v>
      </c>
      <c r="P30" s="11">
        <v>12.4</v>
      </c>
      <c r="Q30" s="11">
        <v>10.7</v>
      </c>
      <c r="R30" s="11">
        <v>9.5</v>
      </c>
      <c r="S30" s="11">
        <v>8.1999999999999993</v>
      </c>
      <c r="T30" s="11">
        <v>7</v>
      </c>
    </row>
    <row r="31" spans="1:20" ht="26.25" customHeight="1">
      <c r="A31" s="207" t="s">
        <v>635</v>
      </c>
      <c r="B31" s="206"/>
      <c r="C31" s="206"/>
      <c r="D31" s="231"/>
      <c r="E31" s="206"/>
      <c r="F31" s="206"/>
      <c r="G31" s="206"/>
      <c r="H31" s="206"/>
      <c r="I31" s="206"/>
      <c r="J31" s="206"/>
      <c r="K31" s="204"/>
      <c r="L31" s="206"/>
      <c r="M31" s="206"/>
      <c r="N31" s="206"/>
      <c r="O31" s="11">
        <v>9.9</v>
      </c>
      <c r="P31" s="215">
        <v>7</v>
      </c>
      <c r="Q31" s="11">
        <v>6.6</v>
      </c>
      <c r="R31" s="11">
        <v>6</v>
      </c>
      <c r="S31" s="11">
        <v>5.4</v>
      </c>
      <c r="T31" s="11">
        <v>5</v>
      </c>
    </row>
    <row r="32" spans="1:20" ht="15" customHeight="1">
      <c r="A32" s="207" t="s">
        <v>636</v>
      </c>
      <c r="B32" s="10"/>
      <c r="C32" s="10"/>
      <c r="D32" s="234"/>
      <c r="E32" s="10"/>
      <c r="F32" s="10"/>
      <c r="G32" s="10"/>
      <c r="H32" s="10"/>
      <c r="I32" s="10"/>
      <c r="J32" s="10"/>
      <c r="K32" s="212"/>
      <c r="L32" s="10"/>
      <c r="M32" s="10"/>
      <c r="N32" s="10"/>
      <c r="O32" s="11"/>
      <c r="P32" s="219">
        <v>1</v>
      </c>
      <c r="Q32" s="219">
        <v>1</v>
      </c>
      <c r="R32" s="219">
        <v>1</v>
      </c>
      <c r="S32" s="11">
        <v>1.2</v>
      </c>
      <c r="T32" s="11">
        <v>1.2</v>
      </c>
    </row>
    <row r="33" spans="1:20" ht="11.25" customHeight="1">
      <c r="A33" s="237" t="s">
        <v>213</v>
      </c>
      <c r="B33" s="10">
        <v>0.77</v>
      </c>
      <c r="C33" s="10">
        <v>0.4</v>
      </c>
      <c r="D33" s="234">
        <v>0.46</v>
      </c>
      <c r="E33" s="10">
        <v>0.76</v>
      </c>
      <c r="F33" s="238">
        <v>0.8</v>
      </c>
      <c r="G33" s="238">
        <v>1</v>
      </c>
      <c r="H33" s="238">
        <v>0.8</v>
      </c>
      <c r="I33" s="238">
        <v>0.8</v>
      </c>
      <c r="J33" s="238">
        <v>0.8</v>
      </c>
      <c r="K33" s="229">
        <v>2</v>
      </c>
      <c r="L33" s="238">
        <v>2.6</v>
      </c>
      <c r="M33" s="238">
        <v>2.4</v>
      </c>
      <c r="N33" s="238">
        <v>2.2999999999999998</v>
      </c>
      <c r="O33" s="243">
        <v>0.9</v>
      </c>
      <c r="P33" s="243">
        <v>0.7</v>
      </c>
      <c r="Q33" s="243">
        <v>0.6</v>
      </c>
      <c r="R33" s="243">
        <v>1.2</v>
      </c>
      <c r="S33" s="243">
        <v>1.1000000000000001</v>
      </c>
      <c r="T33" s="243">
        <v>0.5</v>
      </c>
    </row>
    <row r="34" spans="1:20">
      <c r="A34" s="237" t="s">
        <v>214</v>
      </c>
      <c r="B34" s="238"/>
      <c r="C34" s="238"/>
      <c r="D34" s="239"/>
      <c r="E34" s="238"/>
      <c r="F34" s="238">
        <v>0.04</v>
      </c>
      <c r="G34" s="238">
        <v>0.02</v>
      </c>
      <c r="H34" s="238">
        <v>0.01</v>
      </c>
      <c r="I34" s="238">
        <v>0.01</v>
      </c>
      <c r="J34" s="238">
        <v>0.01</v>
      </c>
      <c r="K34" s="240">
        <v>0.01</v>
      </c>
      <c r="L34" s="238">
        <v>0.01</v>
      </c>
      <c r="M34" s="238">
        <v>0.01</v>
      </c>
      <c r="N34" s="238">
        <v>0.01</v>
      </c>
      <c r="O34" s="243">
        <v>0.01</v>
      </c>
      <c r="P34" s="243">
        <v>0.01</v>
      </c>
      <c r="Q34" s="243">
        <v>0.01</v>
      </c>
      <c r="R34" s="243">
        <v>0.01</v>
      </c>
      <c r="S34" s="243">
        <v>1.0999999999999999E-2</v>
      </c>
      <c r="T34" s="243">
        <v>1.2999999999999999E-2</v>
      </c>
    </row>
    <row r="35" spans="1:20" ht="16.5" customHeight="1">
      <c r="A35" s="207" t="s">
        <v>215</v>
      </c>
      <c r="B35" s="206">
        <v>853.7</v>
      </c>
      <c r="C35" s="206">
        <v>879.8</v>
      </c>
      <c r="D35" s="205">
        <v>937.74300000000005</v>
      </c>
      <c r="E35" s="206">
        <v>1022.4</v>
      </c>
      <c r="F35" s="204">
        <v>1043</v>
      </c>
      <c r="G35" s="206">
        <v>1060.4000000000001</v>
      </c>
      <c r="H35" s="204">
        <v>1067.5999999999999</v>
      </c>
      <c r="I35" s="206">
        <v>1067.5</v>
      </c>
      <c r="J35" s="204">
        <v>1066.0999999999999</v>
      </c>
      <c r="K35" s="204">
        <v>1069.5</v>
      </c>
      <c r="L35" s="204">
        <v>1075.4000000000001</v>
      </c>
      <c r="M35" s="204">
        <v>1072.5999999999999</v>
      </c>
      <c r="N35" s="206">
        <v>1086.7</v>
      </c>
      <c r="O35" s="11">
        <v>1117.5</v>
      </c>
      <c r="P35" s="11">
        <v>1116.4000000000001</v>
      </c>
      <c r="Q35" s="11">
        <v>1109.7</v>
      </c>
      <c r="R35" s="11">
        <v>1098.8</v>
      </c>
      <c r="S35" s="11">
        <v>1090.9000000000001</v>
      </c>
      <c r="T35" s="11">
        <v>1078.3</v>
      </c>
    </row>
    <row r="36" spans="1:20" ht="15" customHeight="1">
      <c r="A36" s="207" t="s">
        <v>216</v>
      </c>
      <c r="B36" s="206">
        <v>1.56</v>
      </c>
      <c r="C36" s="206">
        <v>1.51</v>
      </c>
      <c r="D36" s="231">
        <f>D9/D35</f>
        <v>1.4129916192389598</v>
      </c>
      <c r="E36" s="241">
        <f>E9/E35</f>
        <v>1.3160406885759</v>
      </c>
      <c r="F36" s="206">
        <v>1.27</v>
      </c>
      <c r="G36" s="241">
        <f t="shared" ref="G36:T36" si="2">G9/G35</f>
        <v>1.2009807619766129</v>
      </c>
      <c r="H36" s="241">
        <f t="shared" si="2"/>
        <v>1.19277819408018</v>
      </c>
      <c r="I36" s="241">
        <f t="shared" si="2"/>
        <v>1.2225854800936766</v>
      </c>
      <c r="J36" s="241">
        <f t="shared" si="2"/>
        <v>1.2381671512991277</v>
      </c>
      <c r="K36" s="241">
        <f t="shared" si="2"/>
        <v>1.2516222533894341</v>
      </c>
      <c r="L36" s="241">
        <f t="shared" si="2"/>
        <v>1.2736749116607768</v>
      </c>
      <c r="M36" s="241">
        <f t="shared" si="2"/>
        <v>1.3252004475107217</v>
      </c>
      <c r="N36" s="241">
        <f t="shared" si="2"/>
        <v>1.3501702401766815</v>
      </c>
      <c r="O36" s="242">
        <f t="shared" si="2"/>
        <v>1.1210201342281876</v>
      </c>
      <c r="P36" s="242">
        <f t="shared" si="2"/>
        <v>1.168452167681834</v>
      </c>
      <c r="Q36" s="242">
        <f t="shared" si="2"/>
        <v>1.2095971884293049</v>
      </c>
      <c r="R36" s="242">
        <f t="shared" si="2"/>
        <v>1.2265107389879868</v>
      </c>
      <c r="S36" s="242">
        <f t="shared" si="2"/>
        <v>1.2621606013383442</v>
      </c>
      <c r="T36" s="242">
        <f t="shared" si="2"/>
        <v>1.3033599183900584</v>
      </c>
    </row>
    <row r="37" spans="1:20" ht="15" customHeight="1">
      <c r="A37" s="16" t="s">
        <v>619</v>
      </c>
      <c r="B37" s="647"/>
      <c r="C37" s="647"/>
      <c r="D37" s="648"/>
      <c r="E37" s="649"/>
      <c r="F37" s="647"/>
      <c r="G37" s="649"/>
      <c r="H37" s="649"/>
      <c r="I37" s="649"/>
      <c r="J37" s="649"/>
      <c r="K37" s="649"/>
      <c r="L37" s="649"/>
      <c r="M37" s="649"/>
      <c r="N37" s="649"/>
      <c r="O37" s="650"/>
      <c r="P37" s="650"/>
      <c r="Q37" s="650"/>
      <c r="R37" s="650"/>
      <c r="S37" s="650"/>
      <c r="T37" s="650"/>
    </row>
    <row r="38" spans="1:20" ht="6" customHeight="1">
      <c r="D38" s="164"/>
    </row>
    <row r="39" spans="1:20" ht="23.25" customHeight="1">
      <c r="A39" s="693" t="s">
        <v>530</v>
      </c>
      <c r="B39" s="693"/>
      <c r="C39" s="693"/>
      <c r="D39" s="693"/>
      <c r="E39" s="693"/>
      <c r="F39" s="693"/>
      <c r="G39" s="693"/>
      <c r="H39" s="693"/>
      <c r="I39" s="693"/>
      <c r="J39" s="693"/>
      <c r="K39" s="693"/>
      <c r="L39" s="693"/>
      <c r="M39" s="693"/>
      <c r="N39" s="693"/>
      <c r="O39" s="693"/>
      <c r="P39" s="693"/>
      <c r="Q39" s="693"/>
      <c r="R39" s="693"/>
      <c r="S39" s="693"/>
      <c r="T39" s="693"/>
    </row>
    <row r="40" spans="1:20" ht="24.75" customHeight="1">
      <c r="A40" s="203" t="s">
        <v>532</v>
      </c>
      <c r="B40" s="204">
        <v>425.27</v>
      </c>
      <c r="C40" s="204">
        <v>556.15</v>
      </c>
      <c r="D40" s="205">
        <v>702.64</v>
      </c>
      <c r="E40" s="204">
        <v>826.56</v>
      </c>
      <c r="F40" s="204">
        <v>851</v>
      </c>
      <c r="G40" s="204">
        <v>867</v>
      </c>
      <c r="H40" s="204">
        <v>893</v>
      </c>
      <c r="I40" s="204">
        <v>918.1</v>
      </c>
      <c r="J40" s="204">
        <v>967</v>
      </c>
      <c r="K40" s="204">
        <v>1049.0999999999999</v>
      </c>
      <c r="L40" s="204">
        <v>1163.3</v>
      </c>
      <c r="M40" s="204">
        <v>1368.4</v>
      </c>
      <c r="N40" s="206">
        <v>1638.5</v>
      </c>
      <c r="O40" s="215">
        <f>1712.6/3.4528</f>
        <v>496.00324374420757</v>
      </c>
      <c r="P40" s="215">
        <f>1751.5/3.4528</f>
        <v>507.26946246524562</v>
      </c>
      <c r="Q40" s="215">
        <f>1789.1/3.4528</f>
        <v>518.15917516218724</v>
      </c>
      <c r="R40" s="215">
        <f>1900.4/3.4528</f>
        <v>550.39388322520858</v>
      </c>
      <c r="S40" s="215">
        <f>1983.9/3.4528</f>
        <v>574.577154772938</v>
      </c>
      <c r="T40" s="11">
        <v>608.5</v>
      </c>
    </row>
    <row r="41" spans="1:20" ht="0.75" hidden="1" customHeight="1">
      <c r="A41" s="203" t="s">
        <v>217</v>
      </c>
      <c r="B41" s="204">
        <v>809.34</v>
      </c>
      <c r="C41" s="204">
        <v>1034.0999999999999</v>
      </c>
      <c r="D41" s="205">
        <v>1288.44</v>
      </c>
      <c r="E41" s="204">
        <v>1662.11</v>
      </c>
      <c r="F41" s="204">
        <v>1604</v>
      </c>
      <c r="G41" s="204">
        <v>1542.5</v>
      </c>
      <c r="H41" s="204">
        <v>1667.3</v>
      </c>
      <c r="I41" s="204">
        <v>1721.7</v>
      </c>
      <c r="J41" s="204">
        <v>1830</v>
      </c>
      <c r="K41" s="204">
        <v>2068.8000000000002</v>
      </c>
      <c r="L41" s="204">
        <v>2222</v>
      </c>
      <c r="M41" s="204">
        <v>2522</v>
      </c>
      <c r="N41" s="206">
        <v>2723.5</v>
      </c>
      <c r="O41" s="11">
        <v>2905.8</v>
      </c>
      <c r="P41" s="11"/>
      <c r="Q41" s="11"/>
      <c r="R41" s="11"/>
      <c r="S41" s="11"/>
      <c r="T41" s="11"/>
    </row>
    <row r="42" spans="1:20" ht="18" customHeight="1">
      <c r="A42" s="207" t="s">
        <v>509</v>
      </c>
      <c r="B42" s="206">
        <v>480.9</v>
      </c>
      <c r="C42" s="206">
        <v>618.20000000000005</v>
      </c>
      <c r="D42" s="208">
        <v>778.1</v>
      </c>
      <c r="E42" s="204">
        <v>929.8</v>
      </c>
      <c r="F42" s="204">
        <v>987.4</v>
      </c>
      <c r="G42" s="206">
        <v>970.8</v>
      </c>
      <c r="H42" s="204">
        <v>982.3</v>
      </c>
      <c r="I42" s="209">
        <v>1014</v>
      </c>
      <c r="J42" s="210">
        <v>1072.5999999999999</v>
      </c>
      <c r="K42" s="210">
        <v>1149.3</v>
      </c>
      <c r="L42" s="211">
        <v>1276.2</v>
      </c>
      <c r="M42" s="206">
        <v>1495.7</v>
      </c>
      <c r="N42" s="211">
        <v>1802.4</v>
      </c>
      <c r="O42" s="215">
        <f>1988.1/3.4528</f>
        <v>575.7935588507878</v>
      </c>
      <c r="P42" s="215">
        <f>2045.9/3.4528</f>
        <v>592.5335959221502</v>
      </c>
      <c r="Q42" s="215">
        <f>2123.8/3.4528</f>
        <v>615.09499536607973</v>
      </c>
      <c r="R42" s="215">
        <f>2231.5/3.4528</f>
        <v>646.28707136237256</v>
      </c>
      <c r="S42" s="215">
        <f>2335.5/3.4528</f>
        <v>676.40755329008346</v>
      </c>
      <c r="T42" s="11" t="s">
        <v>510</v>
      </c>
    </row>
    <row r="43" spans="1:20" ht="5.25" customHeight="1">
      <c r="D43" s="164"/>
    </row>
    <row r="44" spans="1:20" ht="14.25" customHeight="1">
      <c r="A44" s="16" t="s">
        <v>218</v>
      </c>
      <c r="D44" s="164"/>
    </row>
    <row r="45" spans="1:20">
      <c r="D45" s="164"/>
      <c r="K45" s="15"/>
    </row>
  </sheetData>
  <mergeCells count="2">
    <mergeCell ref="A39:T39"/>
    <mergeCell ref="A2:T2"/>
  </mergeCells>
  <hyperlinks>
    <hyperlink ref="A1" location="turinys!A1" display="Grįžti į turinį"/>
  </hyperlinks>
  <printOptions horizontalCentered="1" verticalCentered="1"/>
  <pageMargins left="0.45" right="0.34" top="0.24" bottom="0.24" header="0.24" footer="0.24"/>
  <pageSetup paperSize="9" scale="90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"/>
  <sheetViews>
    <sheetView workbookViewId="0">
      <selection activeCell="I34" sqref="I34"/>
    </sheetView>
  </sheetViews>
  <sheetFormatPr defaultRowHeight="12.75"/>
  <cols>
    <col min="1" max="1" width="9.140625" style="21"/>
    <col min="2" max="16384" width="9.140625" style="18"/>
  </cols>
  <sheetData>
    <row r="1" spans="1:1" ht="15">
      <c r="A1" s="23" t="s">
        <v>225</v>
      </c>
    </row>
  </sheetData>
  <hyperlinks>
    <hyperlink ref="A1" location="turinys!A1" display="Grįžti į turinį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6"/>
  <sheetViews>
    <sheetView zoomScaleNormal="100" workbookViewId="0">
      <selection activeCell="O23" sqref="O23"/>
    </sheetView>
  </sheetViews>
  <sheetFormatPr defaultRowHeight="12.75"/>
  <cols>
    <col min="1" max="1" width="16.42578125" style="21" customWidth="1"/>
    <col min="2" max="8" width="9.140625" style="21"/>
    <col min="9" max="9" width="8.42578125" style="21" customWidth="1"/>
    <col min="10" max="264" width="9.140625" style="21"/>
    <col min="265" max="265" width="8.42578125" style="21" customWidth="1"/>
    <col min="266" max="520" width="9.140625" style="21"/>
    <col min="521" max="521" width="8.42578125" style="21" customWidth="1"/>
    <col min="522" max="776" width="9.140625" style="21"/>
    <col min="777" max="777" width="8.42578125" style="21" customWidth="1"/>
    <col min="778" max="1032" width="9.140625" style="21"/>
    <col min="1033" max="1033" width="8.42578125" style="21" customWidth="1"/>
    <col min="1034" max="1288" width="9.140625" style="21"/>
    <col min="1289" max="1289" width="8.42578125" style="21" customWidth="1"/>
    <col min="1290" max="1544" width="9.140625" style="21"/>
    <col min="1545" max="1545" width="8.42578125" style="21" customWidth="1"/>
    <col min="1546" max="1800" width="9.140625" style="21"/>
    <col min="1801" max="1801" width="8.42578125" style="21" customWidth="1"/>
    <col min="1802" max="2056" width="9.140625" style="21"/>
    <col min="2057" max="2057" width="8.42578125" style="21" customWidth="1"/>
    <col min="2058" max="2312" width="9.140625" style="21"/>
    <col min="2313" max="2313" width="8.42578125" style="21" customWidth="1"/>
    <col min="2314" max="2568" width="9.140625" style="21"/>
    <col min="2569" max="2569" width="8.42578125" style="21" customWidth="1"/>
    <col min="2570" max="2824" width="9.140625" style="21"/>
    <col min="2825" max="2825" width="8.42578125" style="21" customWidth="1"/>
    <col min="2826" max="3080" width="9.140625" style="21"/>
    <col min="3081" max="3081" width="8.42578125" style="21" customWidth="1"/>
    <col min="3082" max="3336" width="9.140625" style="21"/>
    <col min="3337" max="3337" width="8.42578125" style="21" customWidth="1"/>
    <col min="3338" max="3592" width="9.140625" style="21"/>
    <col min="3593" max="3593" width="8.42578125" style="21" customWidth="1"/>
    <col min="3594" max="3848" width="9.140625" style="21"/>
    <col min="3849" max="3849" width="8.42578125" style="21" customWidth="1"/>
    <col min="3850" max="4104" width="9.140625" style="21"/>
    <col min="4105" max="4105" width="8.42578125" style="21" customWidth="1"/>
    <col min="4106" max="4360" width="9.140625" style="21"/>
    <col min="4361" max="4361" width="8.42578125" style="21" customWidth="1"/>
    <col min="4362" max="4616" width="9.140625" style="21"/>
    <col min="4617" max="4617" width="8.42578125" style="21" customWidth="1"/>
    <col min="4618" max="4872" width="9.140625" style="21"/>
    <col min="4873" max="4873" width="8.42578125" style="21" customWidth="1"/>
    <col min="4874" max="5128" width="9.140625" style="21"/>
    <col min="5129" max="5129" width="8.42578125" style="21" customWidth="1"/>
    <col min="5130" max="5384" width="9.140625" style="21"/>
    <col min="5385" max="5385" width="8.42578125" style="21" customWidth="1"/>
    <col min="5386" max="5640" width="9.140625" style="21"/>
    <col min="5641" max="5641" width="8.42578125" style="21" customWidth="1"/>
    <col min="5642" max="5896" width="9.140625" style="21"/>
    <col min="5897" max="5897" width="8.42578125" style="21" customWidth="1"/>
    <col min="5898" max="6152" width="9.140625" style="21"/>
    <col min="6153" max="6153" width="8.42578125" style="21" customWidth="1"/>
    <col min="6154" max="6408" width="9.140625" style="21"/>
    <col min="6409" max="6409" width="8.42578125" style="21" customWidth="1"/>
    <col min="6410" max="6664" width="9.140625" style="21"/>
    <col min="6665" max="6665" width="8.42578125" style="21" customWidth="1"/>
    <col min="6666" max="6920" width="9.140625" style="21"/>
    <col min="6921" max="6921" width="8.42578125" style="21" customWidth="1"/>
    <col min="6922" max="7176" width="9.140625" style="21"/>
    <col min="7177" max="7177" width="8.42578125" style="21" customWidth="1"/>
    <col min="7178" max="7432" width="9.140625" style="21"/>
    <col min="7433" max="7433" width="8.42578125" style="21" customWidth="1"/>
    <col min="7434" max="7688" width="9.140625" style="21"/>
    <col min="7689" max="7689" width="8.42578125" style="21" customWidth="1"/>
    <col min="7690" max="7944" width="9.140625" style="21"/>
    <col min="7945" max="7945" width="8.42578125" style="21" customWidth="1"/>
    <col min="7946" max="8200" width="9.140625" style="21"/>
    <col min="8201" max="8201" width="8.42578125" style="21" customWidth="1"/>
    <col min="8202" max="8456" width="9.140625" style="21"/>
    <col min="8457" max="8457" width="8.42578125" style="21" customWidth="1"/>
    <col min="8458" max="8712" width="9.140625" style="21"/>
    <col min="8713" max="8713" width="8.42578125" style="21" customWidth="1"/>
    <col min="8714" max="8968" width="9.140625" style="21"/>
    <col min="8969" max="8969" width="8.42578125" style="21" customWidth="1"/>
    <col min="8970" max="9224" width="9.140625" style="21"/>
    <col min="9225" max="9225" width="8.42578125" style="21" customWidth="1"/>
    <col min="9226" max="9480" width="9.140625" style="21"/>
    <col min="9481" max="9481" width="8.42578125" style="21" customWidth="1"/>
    <col min="9482" max="9736" width="9.140625" style="21"/>
    <col min="9737" max="9737" width="8.42578125" style="21" customWidth="1"/>
    <col min="9738" max="9992" width="9.140625" style="21"/>
    <col min="9993" max="9993" width="8.42578125" style="21" customWidth="1"/>
    <col min="9994" max="10248" width="9.140625" style="21"/>
    <col min="10249" max="10249" width="8.42578125" style="21" customWidth="1"/>
    <col min="10250" max="10504" width="9.140625" style="21"/>
    <col min="10505" max="10505" width="8.42578125" style="21" customWidth="1"/>
    <col min="10506" max="10760" width="9.140625" style="21"/>
    <col min="10761" max="10761" width="8.42578125" style="21" customWidth="1"/>
    <col min="10762" max="11016" width="9.140625" style="21"/>
    <col min="11017" max="11017" width="8.42578125" style="21" customWidth="1"/>
    <col min="11018" max="11272" width="9.140625" style="21"/>
    <col min="11273" max="11273" width="8.42578125" style="21" customWidth="1"/>
    <col min="11274" max="11528" width="9.140625" style="21"/>
    <col min="11529" max="11529" width="8.42578125" style="21" customWidth="1"/>
    <col min="11530" max="11784" width="9.140625" style="21"/>
    <col min="11785" max="11785" width="8.42578125" style="21" customWidth="1"/>
    <col min="11786" max="12040" width="9.140625" style="21"/>
    <col min="12041" max="12041" width="8.42578125" style="21" customWidth="1"/>
    <col min="12042" max="12296" width="9.140625" style="21"/>
    <col min="12297" max="12297" width="8.42578125" style="21" customWidth="1"/>
    <col min="12298" max="12552" width="9.140625" style="21"/>
    <col min="12553" max="12553" width="8.42578125" style="21" customWidth="1"/>
    <col min="12554" max="12808" width="9.140625" style="21"/>
    <col min="12809" max="12809" width="8.42578125" style="21" customWidth="1"/>
    <col min="12810" max="13064" width="9.140625" style="21"/>
    <col min="13065" max="13065" width="8.42578125" style="21" customWidth="1"/>
    <col min="13066" max="13320" width="9.140625" style="21"/>
    <col min="13321" max="13321" width="8.42578125" style="21" customWidth="1"/>
    <col min="13322" max="13576" width="9.140625" style="21"/>
    <col min="13577" max="13577" width="8.42578125" style="21" customWidth="1"/>
    <col min="13578" max="13832" width="9.140625" style="21"/>
    <col min="13833" max="13833" width="8.42578125" style="21" customWidth="1"/>
    <col min="13834" max="14088" width="9.140625" style="21"/>
    <col min="14089" max="14089" width="8.42578125" style="21" customWidth="1"/>
    <col min="14090" max="14344" width="9.140625" style="21"/>
    <col min="14345" max="14345" width="8.42578125" style="21" customWidth="1"/>
    <col min="14346" max="14600" width="9.140625" style="21"/>
    <col min="14601" max="14601" width="8.42578125" style="21" customWidth="1"/>
    <col min="14602" max="14856" width="9.140625" style="21"/>
    <col min="14857" max="14857" width="8.42578125" style="21" customWidth="1"/>
    <col min="14858" max="15112" width="9.140625" style="21"/>
    <col min="15113" max="15113" width="8.42578125" style="21" customWidth="1"/>
    <col min="15114" max="15368" width="9.140625" style="21"/>
    <col min="15369" max="15369" width="8.42578125" style="21" customWidth="1"/>
    <col min="15370" max="15624" width="9.140625" style="21"/>
    <col min="15625" max="15625" width="8.42578125" style="21" customWidth="1"/>
    <col min="15626" max="15880" width="9.140625" style="21"/>
    <col min="15881" max="15881" width="8.42578125" style="21" customWidth="1"/>
    <col min="15882" max="16136" width="9.140625" style="21"/>
    <col min="16137" max="16137" width="8.42578125" style="21" customWidth="1"/>
    <col min="16138" max="16384" width="9.140625" style="21"/>
  </cols>
  <sheetData>
    <row r="1" spans="1:7" ht="15">
      <c r="A1" s="23" t="s">
        <v>225</v>
      </c>
    </row>
    <row r="4" spans="1:7">
      <c r="B4" s="21">
        <v>2010</v>
      </c>
      <c r="C4" s="21">
        <v>2011</v>
      </c>
      <c r="D4" s="21">
        <v>2012</v>
      </c>
      <c r="E4" s="21">
        <v>2013</v>
      </c>
      <c r="F4" s="21">
        <v>2014</v>
      </c>
      <c r="G4" s="21">
        <v>2015</v>
      </c>
    </row>
    <row r="5" spans="1:7">
      <c r="A5" s="567" t="s">
        <v>595</v>
      </c>
      <c r="B5" s="21">
        <v>3037.1</v>
      </c>
      <c r="C5" s="21">
        <v>3217.6</v>
      </c>
      <c r="D5" s="21">
        <v>3363.3</v>
      </c>
      <c r="E5" s="21">
        <v>2894.6</v>
      </c>
      <c r="F5" s="21">
        <v>3059.2</v>
      </c>
      <c r="G5" s="21">
        <v>3285.7</v>
      </c>
    </row>
    <row r="6" spans="1:7">
      <c r="A6" s="21" t="s">
        <v>594</v>
      </c>
      <c r="B6" s="21">
        <v>-7.7</v>
      </c>
      <c r="C6" s="21">
        <v>5.9</v>
      </c>
      <c r="D6" s="21">
        <v>4.5</v>
      </c>
      <c r="E6" s="21">
        <v>-13.9</v>
      </c>
      <c r="F6" s="21">
        <v>5.7</v>
      </c>
      <c r="G6" s="21">
        <v>7.4</v>
      </c>
    </row>
  </sheetData>
  <hyperlinks>
    <hyperlink ref="A1" location="turinys!A1" display="Grįžti į turinį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11"/>
  <sheetViews>
    <sheetView workbookViewId="0">
      <selection activeCell="F33" sqref="F33"/>
    </sheetView>
  </sheetViews>
  <sheetFormatPr defaultRowHeight="12.75"/>
  <cols>
    <col min="1" max="16384" width="9.140625" style="21"/>
  </cols>
  <sheetData>
    <row r="1" spans="1:7" ht="15">
      <c r="A1" s="23" t="s">
        <v>225</v>
      </c>
    </row>
    <row r="9" spans="1:7">
      <c r="B9" s="21">
        <v>2010</v>
      </c>
      <c r="C9" s="21">
        <v>2011</v>
      </c>
      <c r="D9" s="21">
        <v>2012</v>
      </c>
      <c r="E9" s="21">
        <v>2013</v>
      </c>
      <c r="F9" s="21">
        <v>2014</v>
      </c>
      <c r="G9" s="21">
        <v>2015</v>
      </c>
    </row>
    <row r="10" spans="1:7">
      <c r="A10" s="566" t="s">
        <v>593</v>
      </c>
      <c r="B10" s="21">
        <v>3842.5</v>
      </c>
      <c r="C10" s="21">
        <v>3796.3</v>
      </c>
      <c r="D10" s="21">
        <v>3901.4</v>
      </c>
      <c r="E10" s="21">
        <v>3252.5</v>
      </c>
      <c r="F10" s="21">
        <v>3371.6</v>
      </c>
      <c r="G10" s="21">
        <v>3244.5</v>
      </c>
    </row>
    <row r="11" spans="1:7">
      <c r="A11" s="21" t="s">
        <v>594</v>
      </c>
      <c r="B11" s="21">
        <v>-6.8</v>
      </c>
      <c r="C11" s="21">
        <v>-1.2</v>
      </c>
      <c r="D11" s="21">
        <v>2.8</v>
      </c>
      <c r="E11" s="21">
        <v>-16.600000000000001</v>
      </c>
      <c r="F11" s="21">
        <v>3.7</v>
      </c>
      <c r="G11" s="21">
        <v>-3.8</v>
      </c>
    </row>
  </sheetData>
  <hyperlinks>
    <hyperlink ref="A1" location="turinys!A1" display="Grįžti į turinį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G61"/>
  <sheetViews>
    <sheetView workbookViewId="0">
      <selection activeCell="R25" sqref="R25"/>
    </sheetView>
  </sheetViews>
  <sheetFormatPr defaultRowHeight="12.75"/>
  <cols>
    <col min="1" max="1" width="9.140625" style="21"/>
    <col min="2" max="8" width="0" style="18" hidden="1" customWidth="1"/>
    <col min="9" max="16384" width="9.140625" style="18"/>
  </cols>
  <sheetData>
    <row r="1" spans="1:33" ht="15">
      <c r="A1" s="23" t="s">
        <v>225</v>
      </c>
    </row>
    <row r="3" spans="1:33">
      <c r="A3" s="21" t="s">
        <v>444</v>
      </c>
    </row>
    <row r="4" spans="1:33" ht="15">
      <c r="A4" s="196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</row>
    <row r="5" spans="1:33" ht="15">
      <c r="A5" s="196"/>
      <c r="B5" t="s">
        <v>537</v>
      </c>
      <c r="C5" t="s">
        <v>538</v>
      </c>
      <c r="D5" t="s">
        <v>539</v>
      </c>
      <c r="E5" t="s">
        <v>540</v>
      </c>
      <c r="F5" t="s">
        <v>541</v>
      </c>
      <c r="G5" t="s">
        <v>542</v>
      </c>
      <c r="H5" t="s">
        <v>543</v>
      </c>
      <c r="I5" s="194">
        <v>2010</v>
      </c>
      <c r="J5" s="194">
        <v>2011</v>
      </c>
      <c r="K5" s="194">
        <v>2012</v>
      </c>
      <c r="L5" s="194">
        <v>2013</v>
      </c>
      <c r="M5" s="194">
        <v>2014</v>
      </c>
      <c r="N5" s="250">
        <v>2015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ht="15">
      <c r="A6" s="255" t="s">
        <v>544</v>
      </c>
      <c r="B6" s="250">
        <v>185.5</v>
      </c>
      <c r="C6" s="250">
        <v>211.4</v>
      </c>
      <c r="D6" s="251">
        <v>171</v>
      </c>
      <c r="E6" s="250">
        <v>517.70000000000005</v>
      </c>
      <c r="F6" s="252">
        <v>476</v>
      </c>
      <c r="G6" s="253">
        <v>-1436.9</v>
      </c>
      <c r="H6" s="253">
        <v>-2879</v>
      </c>
      <c r="I6" s="250">
        <v>-2780.9</v>
      </c>
      <c r="J6" s="250">
        <v>-1998.2</v>
      </c>
      <c r="K6" s="250">
        <v>-1857.7</v>
      </c>
      <c r="L6" s="250">
        <v>-1235.2</v>
      </c>
      <c r="M6" s="250">
        <v>-1078.5999999999999</v>
      </c>
      <c r="N6" s="250"/>
      <c r="O6" s="250"/>
      <c r="P6" s="250"/>
      <c r="Q6" s="250"/>
      <c r="R6" s="250"/>
      <c r="S6" s="250"/>
      <c r="T6" s="250"/>
      <c r="U6" s="250"/>
      <c r="V6" s="250"/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</row>
    <row r="7" spans="1:33">
      <c r="A7" s="255" t="s">
        <v>536</v>
      </c>
      <c r="B7" s="250"/>
      <c r="C7" s="250"/>
      <c r="D7" s="251">
        <f t="shared" ref="D7:M7" si="0">ROUND(D6/3.4528,1)</f>
        <v>49.5</v>
      </c>
      <c r="E7" s="251">
        <f t="shared" si="0"/>
        <v>149.9</v>
      </c>
      <c r="F7" s="251">
        <f t="shared" si="0"/>
        <v>137.9</v>
      </c>
      <c r="G7" s="251">
        <f t="shared" si="0"/>
        <v>-416.2</v>
      </c>
      <c r="H7" s="251">
        <f t="shared" si="0"/>
        <v>-833.8</v>
      </c>
      <c r="I7" s="251">
        <f t="shared" si="0"/>
        <v>-805.4</v>
      </c>
      <c r="J7" s="251">
        <f t="shared" si="0"/>
        <v>-578.70000000000005</v>
      </c>
      <c r="K7" s="251">
        <f t="shared" si="0"/>
        <v>-538</v>
      </c>
      <c r="L7" s="251">
        <f t="shared" si="0"/>
        <v>-357.7</v>
      </c>
      <c r="M7" s="251">
        <f t="shared" si="0"/>
        <v>-312.39999999999998</v>
      </c>
      <c r="N7" s="250">
        <v>-136.80000000000001</v>
      </c>
      <c r="O7" s="250"/>
      <c r="P7" s="250"/>
      <c r="Q7" s="250"/>
      <c r="R7" s="250"/>
      <c r="S7" s="250"/>
      <c r="T7" s="250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</row>
    <row r="8" spans="1:33" ht="15">
      <c r="A8" s="255"/>
      <c r="B8" s="250"/>
      <c r="C8" s="250"/>
      <c r="D8" s="251"/>
      <c r="E8" s="250"/>
      <c r="F8" s="252"/>
      <c r="G8" s="253"/>
      <c r="H8" s="253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0"/>
      <c r="AD8" s="250"/>
      <c r="AE8" s="250"/>
      <c r="AF8" s="250"/>
      <c r="AG8" s="250"/>
    </row>
    <row r="9" spans="1:33" ht="15">
      <c r="A9" s="255"/>
      <c r="B9" s="250"/>
      <c r="C9" s="250"/>
      <c r="D9" s="251"/>
      <c r="E9" s="250"/>
      <c r="F9" s="252"/>
      <c r="G9" s="253"/>
      <c r="H9" s="253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  <c r="X9" s="250"/>
      <c r="Y9" s="250"/>
      <c r="Z9" s="250"/>
      <c r="AA9" s="250"/>
      <c r="AB9" s="250"/>
      <c r="AC9" s="250"/>
      <c r="AD9" s="250"/>
      <c r="AE9" s="250"/>
      <c r="AF9" s="250"/>
      <c r="AG9" s="250"/>
    </row>
    <row r="10" spans="1:33" ht="15">
      <c r="A10" s="255"/>
      <c r="B10" s="250"/>
      <c r="C10" s="250"/>
      <c r="D10" s="251"/>
      <c r="E10" s="250"/>
      <c r="F10" s="252"/>
      <c r="G10" s="253"/>
      <c r="H10" s="253"/>
      <c r="I10" s="250"/>
      <c r="J10" s="250"/>
      <c r="K10" s="250"/>
      <c r="L10" s="250"/>
      <c r="M10" s="250"/>
      <c r="N10" s="250"/>
      <c r="O10" s="250"/>
      <c r="P10" s="250"/>
      <c r="Q10" s="250"/>
      <c r="R10" s="250"/>
      <c r="S10" s="250"/>
      <c r="T10" s="250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</row>
    <row r="11" spans="1:33" ht="15">
      <c r="A11" s="255"/>
      <c r="B11" s="695"/>
      <c r="C11" s="695"/>
      <c r="D11" s="695"/>
      <c r="E11" s="695"/>
      <c r="F11" s="695"/>
      <c r="G11" s="695"/>
      <c r="H11" s="695"/>
      <c r="I11" s="695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</row>
    <row r="12" spans="1:33" ht="15">
      <c r="A12" s="255"/>
      <c r="B12"/>
      <c r="C12"/>
      <c r="D12"/>
      <c r="E12"/>
      <c r="F12"/>
      <c r="G12" s="254"/>
      <c r="H12" s="254"/>
      <c r="I12" s="254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</row>
    <row r="13" spans="1:33" ht="15">
      <c r="A13" s="255"/>
      <c r="B13"/>
      <c r="C13"/>
      <c r="D13"/>
      <c r="E13"/>
      <c r="F13"/>
      <c r="G13" s="254"/>
      <c r="H13" s="254"/>
      <c r="I13" s="254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</row>
    <row r="14" spans="1:33" ht="15">
      <c r="A14" s="255"/>
      <c r="B14"/>
      <c r="C14"/>
      <c r="D14"/>
      <c r="E14"/>
      <c r="F14"/>
      <c r="G14" s="254"/>
      <c r="H14" s="254"/>
      <c r="I14" s="25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</row>
    <row r="15" spans="1:33" ht="15">
      <c r="A15" s="196"/>
      <c r="B15"/>
      <c r="C15"/>
      <c r="D15"/>
      <c r="E15"/>
      <c r="F15"/>
      <c r="G15" s="254"/>
      <c r="H15" s="254"/>
      <c r="I15" s="254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</row>
    <row r="16" spans="1:33" ht="15">
      <c r="A16" s="196"/>
      <c r="B16"/>
      <c r="C16"/>
      <c r="D16"/>
      <c r="E16"/>
      <c r="F16"/>
      <c r="G16" s="254"/>
      <c r="H16" s="254"/>
      <c r="I16" s="254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</row>
    <row r="17" spans="1:33" ht="15">
      <c r="A17" s="196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</row>
    <row r="18" spans="1:33" ht="15">
      <c r="A18" s="196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</row>
    <row r="19" spans="1:33" ht="15">
      <c r="A19" s="196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</row>
    <row r="20" spans="1:33" ht="15">
      <c r="A20" s="196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</row>
    <row r="21" spans="1:33" ht="15">
      <c r="A21" s="196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</row>
    <row r="22" spans="1:33" ht="15">
      <c r="A22" s="196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</row>
    <row r="23" spans="1:33" ht="15">
      <c r="A23" s="196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</row>
    <row r="24" spans="1:33" ht="15">
      <c r="A24" s="196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</row>
    <row r="25" spans="1:33" ht="15">
      <c r="A25" s="196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</row>
    <row r="26" spans="1:33" ht="15">
      <c r="A26" s="19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</row>
    <row r="27" spans="1:33" ht="15">
      <c r="A27" s="196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</row>
    <row r="28" spans="1:33" ht="15">
      <c r="A28" s="196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</row>
    <row r="29" spans="1:33" ht="15">
      <c r="A29" s="196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</row>
    <row r="30" spans="1:33" ht="15">
      <c r="A30" s="196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</row>
    <row r="31" spans="1:33" ht="15">
      <c r="A31" s="196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</row>
    <row r="32" spans="1:33" ht="15">
      <c r="A32" s="196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</row>
    <row r="33" spans="1:33" ht="15">
      <c r="A33" s="196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</row>
    <row r="34" spans="1:33" ht="15">
      <c r="A34" s="196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</row>
    <row r="35" spans="1:33" ht="15">
      <c r="A35" s="196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</row>
    <row r="36" spans="1:33" ht="15">
      <c r="A36" s="19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</row>
    <row r="37" spans="1:33" ht="15">
      <c r="A37" s="196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</row>
    <row r="38" spans="1:33" ht="15">
      <c r="A38" s="196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</row>
    <row r="39" spans="1:33" ht="15">
      <c r="A39" s="196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</row>
    <row r="40" spans="1:33" ht="15">
      <c r="A40" s="196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</row>
    <row r="41" spans="1:33" ht="15">
      <c r="A41" s="196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</row>
    <row r="42" spans="1:33" ht="15">
      <c r="A42" s="196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ht="15">
      <c r="A43" s="196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ht="15">
      <c r="A44" s="196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ht="15">
      <c r="A45" s="196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ht="15">
      <c r="A46" s="19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ht="15">
      <c r="A47" s="196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ht="15">
      <c r="A48" s="196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ht="15">
      <c r="A49" s="196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ht="15">
      <c r="A50" s="196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</row>
    <row r="51" spans="1:33" ht="15">
      <c r="A51" s="196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</row>
    <row r="52" spans="1:33" ht="15">
      <c r="A52" s="196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</row>
    <row r="53" spans="1:33" ht="15">
      <c r="A53" s="196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</row>
    <row r="54" spans="1:33" ht="15">
      <c r="A54" s="196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</row>
    <row r="55" spans="1:33" ht="15">
      <c r="A55" s="196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</row>
    <row r="56" spans="1:33" ht="15">
      <c r="A56" s="19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</row>
    <row r="57" spans="1:33" ht="15">
      <c r="A57" s="196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</row>
    <row r="58" spans="1:33" ht="15">
      <c r="A58" s="196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</row>
    <row r="59" spans="1:33" ht="15">
      <c r="A59" s="196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</row>
    <row r="60" spans="1:33" ht="15">
      <c r="A60" s="196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</row>
    <row r="61" spans="1:33" ht="15">
      <c r="A61" s="196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</row>
  </sheetData>
  <mergeCells count="4">
    <mergeCell ref="H11:I11"/>
    <mergeCell ref="B11:C11"/>
    <mergeCell ref="D11:E11"/>
    <mergeCell ref="F11:G11"/>
  </mergeCells>
  <hyperlinks>
    <hyperlink ref="A1" location="turinys!A1" display="Grįžti į turinį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9"/>
  <sheetViews>
    <sheetView zoomScaleNormal="100" workbookViewId="0"/>
  </sheetViews>
  <sheetFormatPr defaultColWidth="7.140625" defaultRowHeight="12.75"/>
  <cols>
    <col min="1" max="1" width="22.85546875" style="22" customWidth="1"/>
    <col min="2" max="2" width="0.7109375" style="22" hidden="1" customWidth="1"/>
    <col min="3" max="8" width="9.28515625" style="259" customWidth="1"/>
    <col min="9" max="16384" width="7.140625" style="22"/>
  </cols>
  <sheetData>
    <row r="1" spans="1:8" ht="15">
      <c r="A1" s="23" t="s">
        <v>225</v>
      </c>
    </row>
    <row r="2" spans="1:8" ht="15">
      <c r="A2" s="23"/>
    </row>
    <row r="3" spans="1:8" ht="15">
      <c r="A3" s="123" t="s">
        <v>447</v>
      </c>
    </row>
    <row r="4" spans="1:8">
      <c r="A4" s="256"/>
      <c r="B4" s="256"/>
      <c r="C4" s="260">
        <v>2010</v>
      </c>
      <c r="D4" s="260">
        <v>2011</v>
      </c>
      <c r="E4" s="260">
        <v>2012</v>
      </c>
      <c r="F4" s="260">
        <v>2013</v>
      </c>
      <c r="G4" s="260">
        <v>2014</v>
      </c>
      <c r="H4" s="260">
        <v>2015</v>
      </c>
    </row>
    <row r="5" spans="1:8" hidden="1">
      <c r="A5" s="257" t="s">
        <v>546</v>
      </c>
      <c r="B5" s="256"/>
      <c r="C5" s="261">
        <v>2218462.4300000002</v>
      </c>
      <c r="D5" s="261">
        <v>2220801.35</v>
      </c>
      <c r="E5" s="261">
        <v>2369893.77</v>
      </c>
      <c r="F5" s="261">
        <v>2364467.5000000005</v>
      </c>
      <c r="G5" s="261">
        <v>2519215.8699999996</v>
      </c>
      <c r="H5" s="261">
        <v>2488238.2000000002</v>
      </c>
    </row>
    <row r="6" spans="1:8" hidden="1">
      <c r="A6" s="257" t="s">
        <v>547</v>
      </c>
      <c r="B6" s="256"/>
      <c r="C6" s="261">
        <f>28027.7*1000</f>
        <v>28027700</v>
      </c>
      <c r="D6" s="261">
        <f>31263.1*1000</f>
        <v>31263100</v>
      </c>
      <c r="E6" s="261">
        <f>33334.7*1000</f>
        <v>33334699.999999996</v>
      </c>
      <c r="F6" s="261">
        <f>34962.2*1000</f>
        <v>34962200</v>
      </c>
      <c r="G6" s="261">
        <f>36444.4*1000</f>
        <v>36444400</v>
      </c>
      <c r="H6" s="261">
        <f>37123.646*1000</f>
        <v>37123646</v>
      </c>
    </row>
    <row r="7" spans="1:8" ht="25.5">
      <c r="A7" s="258" t="s">
        <v>549</v>
      </c>
      <c r="B7" s="256"/>
      <c r="C7" s="262">
        <f>C5/C6*100</f>
        <v>7.915249663725529</v>
      </c>
      <c r="D7" s="262">
        <f t="shared" ref="D7:H7" si="0">D5/D6*100</f>
        <v>7.1035864965406512</v>
      </c>
      <c r="E7" s="262">
        <f t="shared" si="0"/>
        <v>7.1093898250171748</v>
      </c>
      <c r="F7" s="262">
        <f t="shared" si="0"/>
        <v>6.7629253879904594</v>
      </c>
      <c r="G7" s="262">
        <f t="shared" si="0"/>
        <v>6.9124909999890241</v>
      </c>
      <c r="H7" s="262">
        <f t="shared" si="0"/>
        <v>6.7025695698100352</v>
      </c>
    </row>
    <row r="8" spans="1:8" ht="25.5" hidden="1">
      <c r="A8" s="258" t="s">
        <v>548</v>
      </c>
      <c r="B8" s="256"/>
      <c r="C8" s="263">
        <v>3842522.2216750998</v>
      </c>
      <c r="D8" s="261">
        <v>3796272.0174929998</v>
      </c>
      <c r="E8" s="261">
        <v>3901341.5</v>
      </c>
      <c r="F8" s="261">
        <f>3252481.763</f>
        <v>3252481.7629999998</v>
      </c>
      <c r="G8" s="261">
        <f>3371554.011</f>
        <v>3371554.0109999999</v>
      </c>
      <c r="H8" s="264">
        <f>3422455.559</f>
        <v>3422455.5589999999</v>
      </c>
    </row>
    <row r="9" spans="1:8">
      <c r="A9" s="257" t="s">
        <v>545</v>
      </c>
      <c r="B9" s="256"/>
      <c r="C9" s="262">
        <f>C8/C6*100</f>
        <v>13.709730808004581</v>
      </c>
      <c r="D9" s="262">
        <f>D8/D6*100</f>
        <v>12.142980118711835</v>
      </c>
      <c r="E9" s="262">
        <f t="shared" ref="E9:H9" si="1">E8/E6*100</f>
        <v>11.703544654669159</v>
      </c>
      <c r="F9" s="262">
        <f t="shared" si="1"/>
        <v>9.3028521174296799</v>
      </c>
      <c r="G9" s="262">
        <f t="shared" si="1"/>
        <v>9.2512265560689713</v>
      </c>
      <c r="H9" s="262">
        <f t="shared" si="1"/>
        <v>9.2190717447311066</v>
      </c>
    </row>
  </sheetData>
  <hyperlinks>
    <hyperlink ref="A1" location="turinys!A1" display="Grįžti į turinį"/>
  </hyperlinks>
  <pageMargins left="0.75" right="0.34" top="1" bottom="1" header="0.5" footer="0.5"/>
  <pageSetup paperSize="9" orientation="portrait" verticalDpi="4" r:id="rId1"/>
  <headerFooter alignWithMargins="0">
    <oddHeader>&amp;A</oddHead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24"/>
  <sheetViews>
    <sheetView workbookViewId="0">
      <selection activeCell="B26" sqref="B26"/>
    </sheetView>
  </sheetViews>
  <sheetFormatPr defaultRowHeight="12.75"/>
  <cols>
    <col min="1" max="1" width="4.28515625" style="570" customWidth="1"/>
    <col min="2" max="2" width="47" style="570" customWidth="1"/>
    <col min="3" max="3" width="11.85546875" style="575" hidden="1" customWidth="1"/>
    <col min="4" max="9" width="11.85546875" style="575" bestFit="1" customWidth="1"/>
    <col min="10" max="10" width="11.85546875" style="575" customWidth="1"/>
    <col min="11" max="11" width="5.5703125" style="575" customWidth="1"/>
    <col min="12" max="14" width="11.85546875" style="575" customWidth="1"/>
    <col min="15" max="15" width="11.5703125" style="576" customWidth="1"/>
    <col min="16" max="16" width="11.85546875" style="576" bestFit="1" customWidth="1"/>
    <col min="17" max="17" width="12.140625" style="576" customWidth="1"/>
    <col min="18" max="18" width="11.85546875" style="576" bestFit="1" customWidth="1"/>
    <col min="19" max="19" width="11.5703125" style="576" customWidth="1"/>
    <col min="20" max="20" width="12.140625" style="576" customWidth="1"/>
    <col min="21" max="21" width="12.85546875" style="576" customWidth="1"/>
    <col min="22" max="16384" width="9.140625" style="576"/>
  </cols>
  <sheetData>
    <row r="1" spans="1:9" s="569" customFormat="1" ht="18.75" customHeight="1">
      <c r="A1" s="568" t="s">
        <v>225</v>
      </c>
    </row>
    <row r="2" spans="1:9" s="569" customFormat="1" ht="6.75" customHeight="1">
      <c r="A2" s="568"/>
    </row>
    <row r="3" spans="1:9" s="300" customFormat="1" ht="38.25" customHeight="1">
      <c r="A3" s="697" t="s">
        <v>511</v>
      </c>
      <c r="B3" s="697"/>
      <c r="C3" s="697"/>
      <c r="D3" s="697"/>
      <c r="E3" s="697"/>
      <c r="F3" s="697"/>
      <c r="G3" s="697"/>
      <c r="H3" s="697"/>
      <c r="I3" s="697"/>
    </row>
    <row r="4" spans="1:9" s="300" customFormat="1" ht="18.75" customHeight="1">
      <c r="A4" s="520"/>
      <c r="B4" s="520"/>
      <c r="C4" s="520"/>
      <c r="D4" s="520"/>
      <c r="E4" s="520"/>
      <c r="F4" s="520"/>
      <c r="G4" s="520"/>
      <c r="H4" s="520"/>
      <c r="I4" s="520" t="s">
        <v>422</v>
      </c>
    </row>
    <row r="5" spans="1:9" s="300" customFormat="1" ht="15">
      <c r="A5" s="698"/>
      <c r="B5" s="698"/>
      <c r="C5" s="699" t="s">
        <v>226</v>
      </c>
      <c r="D5" s="696" t="s">
        <v>200</v>
      </c>
      <c r="E5" s="696" t="s">
        <v>201</v>
      </c>
      <c r="F5" s="696" t="s">
        <v>237</v>
      </c>
      <c r="G5" s="696" t="s">
        <v>238</v>
      </c>
      <c r="H5" s="696" t="s">
        <v>239</v>
      </c>
      <c r="I5" s="696" t="s">
        <v>414</v>
      </c>
    </row>
    <row r="6" spans="1:9" s="300" customFormat="1" ht="6.75" customHeight="1">
      <c r="A6" s="698"/>
      <c r="B6" s="698"/>
      <c r="C6" s="699"/>
      <c r="D6" s="696"/>
      <c r="E6" s="696"/>
      <c r="F6" s="696"/>
      <c r="G6" s="696"/>
      <c r="H6" s="696"/>
      <c r="I6" s="696"/>
    </row>
    <row r="7" spans="1:9" s="300" customFormat="1" ht="15" customHeight="1">
      <c r="A7" s="581"/>
      <c r="B7" s="581"/>
      <c r="C7" s="577"/>
      <c r="D7" s="577"/>
      <c r="E7" s="577"/>
      <c r="F7" s="577"/>
      <c r="G7" s="577"/>
      <c r="H7" s="577"/>
      <c r="I7" s="578"/>
    </row>
    <row r="8" spans="1:9" s="300" customFormat="1" ht="15">
      <c r="A8" s="582"/>
      <c r="B8" s="583" t="s">
        <v>614</v>
      </c>
      <c r="C8" s="587" t="s">
        <v>512</v>
      </c>
      <c r="D8" s="579">
        <f t="shared" ref="D8:I8" si="0">D10+D11+D12+D17+D18+D19+D20+D22+D21</f>
        <v>2218462.4300000002</v>
      </c>
      <c r="E8" s="579">
        <f t="shared" si="0"/>
        <v>2220801.35</v>
      </c>
      <c r="F8" s="579">
        <f t="shared" si="0"/>
        <v>2369893.77</v>
      </c>
      <c r="G8" s="579">
        <f t="shared" si="0"/>
        <v>2364467.5000000005</v>
      </c>
      <c r="H8" s="579">
        <f t="shared" si="0"/>
        <v>2519215.8699999996</v>
      </c>
      <c r="I8" s="579">
        <f t="shared" si="0"/>
        <v>2488238.2000000002</v>
      </c>
    </row>
    <row r="9" spans="1:9" s="300" customFormat="1" ht="8.25" customHeight="1">
      <c r="A9" s="584"/>
      <c r="B9" s="581"/>
      <c r="C9" s="587"/>
      <c r="D9" s="580"/>
      <c r="E9" s="580"/>
      <c r="F9" s="580"/>
      <c r="G9" s="580"/>
      <c r="H9" s="580"/>
      <c r="I9" s="578"/>
    </row>
    <row r="10" spans="1:9" s="300" customFormat="1" ht="19.5" customHeight="1">
      <c r="A10" s="585" t="s">
        <v>12</v>
      </c>
      <c r="B10" s="581" t="s">
        <v>240</v>
      </c>
      <c r="C10" s="588" t="s">
        <v>512</v>
      </c>
      <c r="D10" s="580">
        <v>1562779.16</v>
      </c>
      <c r="E10" s="580">
        <v>1571641.31</v>
      </c>
      <c r="F10" s="580">
        <v>1703192.83</v>
      </c>
      <c r="G10" s="580">
        <v>1727508.86</v>
      </c>
      <c r="H10" s="580">
        <v>1737985</v>
      </c>
      <c r="I10" s="580">
        <v>1755976.7</v>
      </c>
    </row>
    <row r="11" spans="1:9" s="300" customFormat="1" ht="19.5" customHeight="1">
      <c r="A11" s="585" t="s">
        <v>32</v>
      </c>
      <c r="B11" s="581" t="s">
        <v>241</v>
      </c>
      <c r="C11" s="588" t="s">
        <v>512</v>
      </c>
      <c r="D11" s="580">
        <v>499510.72</v>
      </c>
      <c r="E11" s="580">
        <v>490263.24</v>
      </c>
      <c r="F11" s="580">
        <v>501758.28</v>
      </c>
      <c r="G11" s="580">
        <v>479714.17</v>
      </c>
      <c r="H11" s="580">
        <v>470288.84</v>
      </c>
      <c r="I11" s="580">
        <v>465605.1</v>
      </c>
    </row>
    <row r="12" spans="1:9" s="300" customFormat="1" ht="15">
      <c r="A12" s="585" t="s">
        <v>50</v>
      </c>
      <c r="B12" s="586" t="s">
        <v>242</v>
      </c>
      <c r="C12" s="588" t="s">
        <v>512</v>
      </c>
      <c r="D12" s="580">
        <f t="shared" ref="D12:I12" si="1">D13+D14</f>
        <v>114715.71</v>
      </c>
      <c r="E12" s="580">
        <f t="shared" si="1"/>
        <v>112322.79000000001</v>
      </c>
      <c r="F12" s="580">
        <f t="shared" si="1"/>
        <v>113545.82</v>
      </c>
      <c r="G12" s="580">
        <f t="shared" si="1"/>
        <v>110507.3</v>
      </c>
      <c r="H12" s="580">
        <f t="shared" si="1"/>
        <v>107394.06000000001</v>
      </c>
      <c r="I12" s="580">
        <f t="shared" si="1"/>
        <v>105735.70000000001</v>
      </c>
    </row>
    <row r="13" spans="1:9" s="300" customFormat="1" ht="18.75" customHeight="1">
      <c r="A13" s="585" t="s">
        <v>155</v>
      </c>
      <c r="B13" s="581" t="s">
        <v>596</v>
      </c>
      <c r="C13" s="588" t="s">
        <v>512</v>
      </c>
      <c r="D13" s="580">
        <v>12397.88</v>
      </c>
      <c r="E13" s="580">
        <v>10163.35</v>
      </c>
      <c r="F13" s="580">
        <v>8474.31</v>
      </c>
      <c r="G13" s="580">
        <v>6922.47</v>
      </c>
      <c r="H13" s="580">
        <v>5626.27</v>
      </c>
      <c r="I13" s="580">
        <v>4631.1000000000004</v>
      </c>
    </row>
    <row r="14" spans="1:9" s="571" customFormat="1" ht="19.5" customHeight="1">
      <c r="A14" s="585" t="s">
        <v>157</v>
      </c>
      <c r="B14" s="581" t="s">
        <v>597</v>
      </c>
      <c r="C14" s="588" t="s">
        <v>512</v>
      </c>
      <c r="D14" s="580">
        <f>D15+D16</f>
        <v>102317.83</v>
      </c>
      <c r="E14" s="580">
        <f t="shared" ref="E14:H14" si="2">E15+E16</f>
        <v>102159.44</v>
      </c>
      <c r="F14" s="580">
        <f t="shared" si="2"/>
        <v>105071.51000000001</v>
      </c>
      <c r="G14" s="580">
        <f t="shared" si="2"/>
        <v>103584.83</v>
      </c>
      <c r="H14" s="580">
        <f t="shared" si="2"/>
        <v>101767.79000000001</v>
      </c>
      <c r="I14" s="580">
        <f>I15+I16</f>
        <v>101104.6</v>
      </c>
    </row>
    <row r="15" spans="1:9" s="571" customFormat="1" ht="19.5" customHeight="1">
      <c r="A15" s="585"/>
      <c r="B15" s="581" t="s">
        <v>243</v>
      </c>
      <c r="C15" s="588" t="s">
        <v>512</v>
      </c>
      <c r="D15" s="580">
        <v>58730.54</v>
      </c>
      <c r="E15" s="580">
        <v>59385.08</v>
      </c>
      <c r="F15" s="580">
        <v>61002.26</v>
      </c>
      <c r="G15" s="580">
        <v>60337.120000000003</v>
      </c>
      <c r="H15" s="580">
        <v>59574.03</v>
      </c>
      <c r="I15" s="580">
        <v>59541.1</v>
      </c>
    </row>
    <row r="16" spans="1:9" s="571" customFormat="1" ht="17.25" customHeight="1">
      <c r="A16" s="585"/>
      <c r="B16" s="581" t="s">
        <v>244</v>
      </c>
      <c r="C16" s="588" t="s">
        <v>512</v>
      </c>
      <c r="D16" s="580">
        <v>43587.29</v>
      </c>
      <c r="E16" s="580">
        <v>42774.36</v>
      </c>
      <c r="F16" s="580">
        <v>44069.25</v>
      </c>
      <c r="G16" s="580">
        <v>43247.71</v>
      </c>
      <c r="H16" s="580">
        <v>42193.760000000002</v>
      </c>
      <c r="I16" s="580">
        <v>41563.5</v>
      </c>
    </row>
    <row r="17" spans="1:9" s="300" customFormat="1" ht="18" customHeight="1">
      <c r="A17" s="585" t="s">
        <v>171</v>
      </c>
      <c r="B17" s="586" t="s">
        <v>245</v>
      </c>
      <c r="C17" s="588" t="s">
        <v>512</v>
      </c>
      <c r="D17" s="580">
        <v>1353.68</v>
      </c>
      <c r="E17" s="580">
        <v>1272.3599999999999</v>
      </c>
      <c r="F17" s="580">
        <v>1303.32</v>
      </c>
      <c r="G17" s="580">
        <v>1158.6199999999999</v>
      </c>
      <c r="H17" s="580">
        <v>1086.51</v>
      </c>
      <c r="I17" s="580">
        <v>1028.2</v>
      </c>
    </row>
    <row r="18" spans="1:9" s="571" customFormat="1" ht="21" customHeight="1">
      <c r="A18" s="585" t="s">
        <v>173</v>
      </c>
      <c r="B18" s="586" t="s">
        <v>246</v>
      </c>
      <c r="C18" s="588" t="s">
        <v>512</v>
      </c>
      <c r="D18" s="580">
        <v>12956.06</v>
      </c>
      <c r="E18" s="580">
        <v>11924.18</v>
      </c>
      <c r="F18" s="580">
        <v>13370.68</v>
      </c>
      <c r="G18" s="580">
        <v>11495.37</v>
      </c>
      <c r="H18" s="580">
        <v>10652.31</v>
      </c>
      <c r="I18" s="580">
        <v>10245.5</v>
      </c>
    </row>
    <row r="19" spans="1:9" s="571" customFormat="1" ht="21" customHeight="1">
      <c r="A19" s="585" t="s">
        <v>186</v>
      </c>
      <c r="B19" s="586" t="s">
        <v>247</v>
      </c>
      <c r="C19" s="588" t="s">
        <v>512</v>
      </c>
      <c r="D19" s="580">
        <v>8195.23</v>
      </c>
      <c r="E19" s="580">
        <v>7725.79</v>
      </c>
      <c r="F19" s="580">
        <v>8064.5</v>
      </c>
      <c r="G19" s="580">
        <v>8105.02</v>
      </c>
      <c r="H19" s="580">
        <v>7813.98</v>
      </c>
      <c r="I19" s="580">
        <v>8517</v>
      </c>
    </row>
    <row r="20" spans="1:9" s="571" customFormat="1" ht="21.75" customHeight="1">
      <c r="A20" s="585" t="s">
        <v>248</v>
      </c>
      <c r="B20" s="581" t="s">
        <v>641</v>
      </c>
      <c r="C20" s="588" t="s">
        <v>512</v>
      </c>
      <c r="D20" s="580">
        <v>18691.47</v>
      </c>
      <c r="E20" s="580">
        <v>24885.43</v>
      </c>
      <c r="F20" s="580">
        <v>27926.15</v>
      </c>
      <c r="G20" s="580">
        <v>25481.81</v>
      </c>
      <c r="H20" s="580">
        <v>22931.77</v>
      </c>
      <c r="I20" s="580">
        <v>19971.7</v>
      </c>
    </row>
    <row r="21" spans="1:9" s="571" customFormat="1" ht="30">
      <c r="A21" s="585" t="s">
        <v>249</v>
      </c>
      <c r="B21" s="586" t="s">
        <v>250</v>
      </c>
      <c r="C21" s="589"/>
      <c r="D21" s="580">
        <v>260.39999999999998</v>
      </c>
      <c r="E21" s="580">
        <v>766.25</v>
      </c>
      <c r="F21" s="580">
        <v>732.19</v>
      </c>
      <c r="G21" s="580">
        <v>496.35</v>
      </c>
      <c r="H21" s="580">
        <v>600.96</v>
      </c>
      <c r="I21" s="580">
        <v>558.29999999999995</v>
      </c>
    </row>
    <row r="22" spans="1:9" s="571" customFormat="1" ht="18" customHeight="1">
      <c r="A22" s="585" t="s">
        <v>251</v>
      </c>
      <c r="B22" s="586" t="s">
        <v>252</v>
      </c>
      <c r="C22" s="589"/>
      <c r="D22" s="580"/>
      <c r="E22" s="580"/>
      <c r="F22" s="580"/>
      <c r="G22" s="580"/>
      <c r="H22" s="580">
        <v>160462.44</v>
      </c>
      <c r="I22" s="580">
        <v>120600</v>
      </c>
    </row>
    <row r="23" spans="1:9" s="571" customFormat="1">
      <c r="A23" s="572"/>
      <c r="B23" s="572"/>
      <c r="C23" s="573"/>
    </row>
    <row r="24" spans="1:9" s="300" customFormat="1" ht="15">
      <c r="A24" s="572"/>
      <c r="B24" s="572"/>
      <c r="C24" s="574"/>
    </row>
  </sheetData>
  <mergeCells count="10">
    <mergeCell ref="G5:G6"/>
    <mergeCell ref="H5:H6"/>
    <mergeCell ref="I5:I6"/>
    <mergeCell ref="A3:I3"/>
    <mergeCell ref="D5:D6"/>
    <mergeCell ref="A5:A6"/>
    <mergeCell ref="B5:B6"/>
    <mergeCell ref="C5:C6"/>
    <mergeCell ref="E5:E6"/>
    <mergeCell ref="F5:F6"/>
  </mergeCells>
  <hyperlinks>
    <hyperlink ref="A1" location="turinys!A1" display="Grįžti į turinį"/>
  </hyperlinks>
  <pageMargins left="1.17" right="0.27" top="0.75" bottom="1" header="0.5" footer="0.5"/>
  <pageSetup paperSize="9" orientation="landscape" verticalDpi="4" r:id="rId1"/>
  <headerFooter alignWithMargins="0">
    <oddHeader>&amp;A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44"/>
  <sheetViews>
    <sheetView zoomScaleNormal="100" workbookViewId="0">
      <selection activeCell="A37" sqref="A37"/>
    </sheetView>
  </sheetViews>
  <sheetFormatPr defaultRowHeight="12.75"/>
  <cols>
    <col min="1" max="1" width="33.5703125" style="18" customWidth="1"/>
    <col min="2" max="4" width="9.140625" style="18" customWidth="1"/>
    <col min="5" max="5" width="7" style="18" bestFit="1" customWidth="1"/>
    <col min="6" max="11" width="9.140625" style="18" customWidth="1"/>
    <col min="12" max="12" width="7.42578125" style="18" customWidth="1"/>
    <col min="13" max="14" width="9.140625" style="18" customWidth="1"/>
    <col min="15" max="15" width="84.28515625" style="18" customWidth="1"/>
    <col min="16" max="17" width="10.42578125" style="18" customWidth="1"/>
    <col min="18" max="16384" width="9.140625" style="18"/>
  </cols>
  <sheetData>
    <row r="1" spans="1:24" ht="15">
      <c r="A1" s="23" t="s">
        <v>225</v>
      </c>
    </row>
    <row r="2" spans="1:24" ht="9" customHeight="1">
      <c r="A2" s="23"/>
    </row>
    <row r="3" spans="1:24" ht="21" customHeight="1">
      <c r="A3" s="2" t="s">
        <v>223</v>
      </c>
      <c r="B3" s="386">
        <v>2010</v>
      </c>
      <c r="C3" s="386">
        <v>2011</v>
      </c>
      <c r="D3" s="386">
        <v>2012</v>
      </c>
      <c r="E3" s="386">
        <v>2013</v>
      </c>
      <c r="F3" s="386">
        <v>2014</v>
      </c>
      <c r="G3" s="386">
        <v>2015</v>
      </c>
      <c r="H3" s="2"/>
      <c r="I3" s="2"/>
      <c r="J3" s="2"/>
    </row>
    <row r="4" spans="1:24">
      <c r="A4" s="387" t="s">
        <v>588</v>
      </c>
      <c r="B4" s="2">
        <v>3842.5</v>
      </c>
      <c r="C4" s="2">
        <v>3802.6</v>
      </c>
      <c r="D4" s="2">
        <v>3901.4</v>
      </c>
      <c r="E4" s="2">
        <v>3252.5</v>
      </c>
      <c r="F4" s="2">
        <v>3371.6</v>
      </c>
      <c r="G4" s="2">
        <v>3422.5</v>
      </c>
      <c r="H4" s="2"/>
      <c r="I4" s="2"/>
      <c r="J4" s="2"/>
    </row>
    <row r="5" spans="1:24">
      <c r="A5" s="387" t="s">
        <v>589</v>
      </c>
      <c r="B5" s="2">
        <v>2218.5</v>
      </c>
      <c r="C5" s="2">
        <v>2220.8000000000002</v>
      </c>
      <c r="D5" s="2">
        <v>2369.9</v>
      </c>
      <c r="E5" s="2">
        <v>2364.5</v>
      </c>
      <c r="F5" s="2">
        <v>2519.1999999999998</v>
      </c>
      <c r="G5" s="2">
        <v>2488.1999999999998</v>
      </c>
      <c r="H5" s="2"/>
      <c r="I5" s="2"/>
      <c r="J5" s="2"/>
      <c r="X5" s="26"/>
    </row>
    <row r="6" spans="1:24" ht="15">
      <c r="A6" s="2" t="s">
        <v>254</v>
      </c>
      <c r="B6" s="25">
        <f t="shared" ref="B6:G6" si="0">ROUND(B5/B4,3)</f>
        <v>0.57699999999999996</v>
      </c>
      <c r="C6" s="25">
        <f t="shared" si="0"/>
        <v>0.58399999999999996</v>
      </c>
      <c r="D6" s="25">
        <f t="shared" si="0"/>
        <v>0.60699999999999998</v>
      </c>
      <c r="E6" s="25">
        <f t="shared" si="0"/>
        <v>0.72699999999999998</v>
      </c>
      <c r="F6" s="25">
        <f t="shared" si="0"/>
        <v>0.747</v>
      </c>
      <c r="G6" s="25">
        <f t="shared" si="0"/>
        <v>0.72699999999999998</v>
      </c>
      <c r="H6" s="2"/>
      <c r="I6" s="2"/>
      <c r="J6" s="2"/>
    </row>
    <row r="7" spans="1:24">
      <c r="A7" s="2"/>
      <c r="B7" s="388"/>
      <c r="C7" s="388"/>
      <c r="D7" s="388"/>
      <c r="E7" s="2"/>
      <c r="F7" s="2"/>
      <c r="G7" s="2"/>
      <c r="H7" s="2"/>
      <c r="I7" s="2"/>
      <c r="J7" s="2"/>
    </row>
    <row r="8" spans="1:24">
      <c r="A8" s="2"/>
      <c r="B8" s="2"/>
      <c r="C8" s="2"/>
      <c r="D8" s="2"/>
      <c r="E8" s="2"/>
      <c r="F8" s="2"/>
      <c r="G8" s="2"/>
      <c r="H8" s="2"/>
      <c r="I8" s="2"/>
      <c r="J8" s="2"/>
    </row>
    <row r="9" spans="1:24">
      <c r="A9" s="2"/>
      <c r="B9" s="2"/>
      <c r="C9" s="2"/>
      <c r="D9" s="2"/>
      <c r="E9" s="2"/>
      <c r="F9" s="2"/>
      <c r="G9" s="2"/>
      <c r="H9" s="2"/>
      <c r="I9" s="2"/>
      <c r="J9" s="2"/>
    </row>
    <row r="10" spans="1:24">
      <c r="A10" s="2"/>
      <c r="B10" s="2"/>
      <c r="C10" s="2"/>
      <c r="D10" s="2"/>
      <c r="E10" s="2"/>
      <c r="F10" s="2"/>
      <c r="G10" s="389"/>
      <c r="H10" s="2"/>
      <c r="I10" s="2"/>
      <c r="J10" s="2"/>
    </row>
    <row r="11" spans="1:24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24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24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24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5">
      <c r="A43"/>
      <c r="B43"/>
      <c r="C43"/>
      <c r="D43"/>
      <c r="E43"/>
      <c r="F43"/>
      <c r="G43"/>
      <c r="H43"/>
      <c r="I43"/>
      <c r="J43"/>
    </row>
    <row r="44" spans="1:10" ht="15">
      <c r="A44"/>
      <c r="B44"/>
      <c r="C44"/>
      <c r="D44"/>
      <c r="E44"/>
      <c r="F44"/>
      <c r="G44"/>
      <c r="H44"/>
      <c r="I44"/>
      <c r="J44"/>
    </row>
  </sheetData>
  <hyperlinks>
    <hyperlink ref="A1" location="turinys!A1" display="Grįžti į turinį"/>
  </hyperlinks>
  <pageMargins left="0.5" right="0.35" top="0.98425196850393704" bottom="0.98425196850393704" header="0.51181102362204722" footer="0.51181102362204722"/>
  <pageSetup paperSize="9" orientation="portrait" verticalDpi="4" r:id="rId1"/>
  <headerFooter alignWithMargins="0">
    <oddHeader>&amp;A</oddHead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2"/>
  <sheetViews>
    <sheetView workbookViewId="0"/>
  </sheetViews>
  <sheetFormatPr defaultRowHeight="15"/>
  <sheetData>
    <row r="1" spans="1:1">
      <c r="A1" s="23" t="s">
        <v>225</v>
      </c>
    </row>
    <row r="2" spans="1:1" ht="9" customHeight="1"/>
  </sheetData>
  <hyperlinks>
    <hyperlink ref="A1" location="turinys!A1" display="Grįžti į turinį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33"/>
  <sheetViews>
    <sheetView workbookViewId="0">
      <selection activeCell="V21" sqref="V21"/>
    </sheetView>
  </sheetViews>
  <sheetFormatPr defaultColWidth="9" defaultRowHeight="12.75"/>
  <cols>
    <col min="1" max="5" width="11.7109375" style="28" customWidth="1"/>
    <col min="6" max="11" width="11.7109375" style="28" hidden="1" customWidth="1"/>
    <col min="12" max="12" width="9.7109375" style="28" hidden="1" customWidth="1"/>
    <col min="13" max="15" width="9" style="28" hidden="1" customWidth="1"/>
    <col min="16" max="16384" width="9" style="28"/>
  </cols>
  <sheetData>
    <row r="1" spans="1:18" s="27" customFormat="1" ht="16.5" customHeight="1">
      <c r="A1" s="23" t="s">
        <v>225</v>
      </c>
    </row>
    <row r="3" spans="1:18" s="18" customFormat="1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s="18" customFormat="1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8" s="18" customFormat="1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8" s="18" customFormat="1">
      <c r="A6" s="28"/>
      <c r="B6" s="28"/>
      <c r="C6" s="166">
        <v>2015</v>
      </c>
      <c r="D6" s="28"/>
      <c r="E6" s="166"/>
      <c r="F6" s="28"/>
      <c r="G6" s="166" t="s">
        <v>260</v>
      </c>
      <c r="H6" s="28"/>
      <c r="I6" s="166" t="s">
        <v>261</v>
      </c>
      <c r="J6" s="28"/>
      <c r="K6" s="166" t="s">
        <v>262</v>
      </c>
      <c r="L6" s="28"/>
      <c r="M6" s="166" t="s">
        <v>263</v>
      </c>
      <c r="N6" s="28"/>
      <c r="O6" s="166" t="s">
        <v>264</v>
      </c>
      <c r="P6" s="28"/>
      <c r="Q6" s="28"/>
      <c r="R6" s="28"/>
    </row>
    <row r="7" spans="1:18" s="18" customFormat="1">
      <c r="A7" s="166" t="s">
        <v>255</v>
      </c>
      <c r="B7" s="28">
        <v>595301</v>
      </c>
      <c r="C7" s="167">
        <f>ROUND(B7/$B$11,4)</f>
        <v>0.55500000000000005</v>
      </c>
      <c r="D7" s="28"/>
      <c r="E7" s="168"/>
      <c r="F7" s="28">
        <v>595039</v>
      </c>
      <c r="G7" s="168">
        <f>ROUND(F7/$F$10,3)</f>
        <v>82.052000000000007</v>
      </c>
      <c r="H7" s="28">
        <v>590915</v>
      </c>
      <c r="I7" s="167">
        <f>ROUND(H7/$H$10,3)</f>
        <v>71.582999999999998</v>
      </c>
      <c r="J7" s="28">
        <v>590968</v>
      </c>
      <c r="K7" s="167">
        <f>ROUND(J7/$J$10,3)-0.001</f>
        <v>72.921999999999997</v>
      </c>
      <c r="L7" s="28">
        <v>595524</v>
      </c>
      <c r="M7" s="167">
        <f>ROUND(L7/$L$10,3)</f>
        <v>104.754</v>
      </c>
      <c r="N7" s="28">
        <v>610775</v>
      </c>
      <c r="O7" s="167" t="e">
        <f>ROUND(N7/$N$10,3)</f>
        <v>#DIV/0!</v>
      </c>
      <c r="P7" s="28"/>
      <c r="Q7" s="29"/>
      <c r="R7" s="28"/>
    </row>
    <row r="8" spans="1:18" s="18" customFormat="1">
      <c r="A8" s="166" t="s">
        <v>257</v>
      </c>
      <c r="B8" s="28">
        <v>208567</v>
      </c>
      <c r="C8" s="167">
        <f t="shared" ref="C8:C10" si="0">ROUND(B8/$B$11,4)</f>
        <v>0.19439999999999999</v>
      </c>
      <c r="D8" s="28"/>
      <c r="E8" s="168"/>
      <c r="F8" s="28">
        <f>103207+113877</f>
        <v>217084</v>
      </c>
      <c r="G8" s="168">
        <f>ROUND(F8/$F$10,3)</f>
        <v>29.934000000000001</v>
      </c>
      <c r="H8" s="28">
        <f>113647+99615</f>
        <v>213262</v>
      </c>
      <c r="I8" s="167">
        <f>ROUND(H8/$H$10,3)</f>
        <v>25.834</v>
      </c>
      <c r="J8" s="28">
        <f>149340+61907</f>
        <v>211247</v>
      </c>
      <c r="K8" s="167">
        <f>ROUND(J8/$J$10,3)</f>
        <v>26.067</v>
      </c>
      <c r="L8" s="28">
        <v>211264</v>
      </c>
      <c r="M8" s="167">
        <f>ROUND(L8/$L$10,3)</f>
        <v>37.161999999999999</v>
      </c>
      <c r="N8" s="28">
        <v>196321</v>
      </c>
      <c r="O8" s="167" t="e">
        <f>ROUND(N8/$N$10,3)</f>
        <v>#DIV/0!</v>
      </c>
      <c r="P8" s="28"/>
      <c r="Q8" s="29"/>
      <c r="R8" s="28"/>
    </row>
    <row r="9" spans="1:18" s="18" customFormat="1">
      <c r="A9" s="166" t="s">
        <v>265</v>
      </c>
      <c r="B9" s="28">
        <v>259509</v>
      </c>
      <c r="C9" s="167">
        <f t="shared" si="0"/>
        <v>0.2419</v>
      </c>
      <c r="D9" s="28"/>
      <c r="E9" s="168"/>
      <c r="F9" s="28">
        <v>262527</v>
      </c>
      <c r="G9" s="168">
        <f>ROUND(F9/$F$10,3)-0.001</f>
        <v>36.200000000000003</v>
      </c>
      <c r="H9" s="28">
        <v>252570</v>
      </c>
      <c r="I9" s="167">
        <f>ROUND(H9/$H$10,3)</f>
        <v>30.596</v>
      </c>
      <c r="J9" s="28">
        <v>238148</v>
      </c>
      <c r="K9" s="167">
        <f>ROUND(J9/$J$10,3)</f>
        <v>29.385999999999999</v>
      </c>
      <c r="L9" s="28">
        <v>236565</v>
      </c>
      <c r="M9" s="167">
        <f>ROUND(L9/$L$10,3)</f>
        <v>41.612000000000002</v>
      </c>
      <c r="N9" s="28">
        <v>227080</v>
      </c>
      <c r="O9" s="167" t="e">
        <f>ROUND(N9/$N$10,3)</f>
        <v>#DIV/0!</v>
      </c>
      <c r="P9" s="28"/>
      <c r="Q9" s="29"/>
      <c r="R9" s="28"/>
    </row>
    <row r="10" spans="1:18" s="18" customFormat="1">
      <c r="A10" s="166" t="s">
        <v>256</v>
      </c>
      <c r="B10" s="28">
        <v>9303</v>
      </c>
      <c r="C10" s="167">
        <f t="shared" si="0"/>
        <v>8.6999999999999994E-3</v>
      </c>
      <c r="D10" s="28"/>
      <c r="E10" s="168"/>
      <c r="F10" s="28">
        <v>7252</v>
      </c>
      <c r="G10" s="168">
        <f>ROUND(F10/$F$10,3)</f>
        <v>1</v>
      </c>
      <c r="H10" s="28">
        <v>8255</v>
      </c>
      <c r="I10" s="167">
        <f>ROUND(H10/$H$10,3)</f>
        <v>1</v>
      </c>
      <c r="J10" s="28">
        <v>8104</v>
      </c>
      <c r="K10" s="167">
        <f>ROUND(J10/$J$10,3)</f>
        <v>1</v>
      </c>
      <c r="L10" s="28">
        <v>5685</v>
      </c>
      <c r="M10" s="167">
        <f>ROUND(L10/$L$10,3)</f>
        <v>1</v>
      </c>
      <c r="N10" s="28"/>
      <c r="O10" s="167"/>
      <c r="P10" s="28"/>
      <c r="Q10" s="29"/>
      <c r="R10" s="28"/>
    </row>
    <row r="11" spans="1:18" s="18" customFormat="1">
      <c r="A11" s="28"/>
      <c r="B11" s="166">
        <f>SUM(B7:B10)</f>
        <v>1072680</v>
      </c>
      <c r="C11" s="167">
        <f>SUM(C7:C10)</f>
        <v>1</v>
      </c>
      <c r="D11" s="166"/>
      <c r="E11" s="167"/>
      <c r="F11" s="166">
        <f t="shared" ref="F11:M11" si="1">SUM(F7:F10)</f>
        <v>1081902</v>
      </c>
      <c r="G11" s="167">
        <f t="shared" si="1"/>
        <v>149.18600000000001</v>
      </c>
      <c r="H11" s="166">
        <f t="shared" si="1"/>
        <v>1065002</v>
      </c>
      <c r="I11" s="167">
        <f t="shared" si="1"/>
        <v>129.01300000000001</v>
      </c>
      <c r="J11" s="166">
        <f t="shared" si="1"/>
        <v>1048467</v>
      </c>
      <c r="K11" s="167">
        <f t="shared" si="1"/>
        <v>129.375</v>
      </c>
      <c r="L11" s="166">
        <f t="shared" si="1"/>
        <v>1049038</v>
      </c>
      <c r="M11" s="167">
        <f t="shared" si="1"/>
        <v>184.52799999999999</v>
      </c>
      <c r="N11" s="166">
        <f>SUM(N7:N9)</f>
        <v>1034176</v>
      </c>
      <c r="O11" s="167" t="e">
        <f>ROUND(N11/$N$10,3)</f>
        <v>#DIV/0!</v>
      </c>
      <c r="P11" s="28"/>
      <c r="Q11" s="28"/>
      <c r="R11" s="28"/>
    </row>
    <row r="12" spans="1:18" s="18" customFormat="1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</row>
    <row r="13" spans="1:18" s="18" customForma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</row>
    <row r="14" spans="1:18" s="18" customFormat="1">
      <c r="A14" s="28"/>
      <c r="B14" s="28"/>
      <c r="C14" s="28"/>
      <c r="D14" s="28"/>
      <c r="E14" s="28"/>
      <c r="F14" s="28"/>
      <c r="G14" s="28"/>
      <c r="H14" s="28"/>
      <c r="I14" s="167"/>
      <c r="J14" s="28"/>
      <c r="K14" s="28"/>
      <c r="L14" s="28"/>
      <c r="M14" s="28"/>
      <c r="N14" s="28"/>
      <c r="O14" s="28"/>
      <c r="P14" s="28"/>
      <c r="Q14" s="28"/>
      <c r="R14" s="28"/>
    </row>
    <row r="15" spans="1:18" s="18" customFormat="1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</row>
    <row r="16" spans="1:18" s="18" customFormat="1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</row>
    <row r="17" spans="1:18" s="18" customFormat="1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</row>
    <row r="18" spans="1:18" s="18" customFormat="1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</row>
    <row r="19" spans="1:18" s="18" customForma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</row>
    <row r="20" spans="1:18" s="18" customFormat="1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</row>
    <row r="21" spans="1:18" s="18" customFormat="1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</row>
    <row r="22" spans="1:18" s="18" customFormat="1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s="18" customFormat="1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s="18" customFormat="1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</row>
    <row r="25" spans="1:18" s="18" customFormat="1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</row>
    <row r="26" spans="1:18" s="18" customFormat="1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</row>
    <row r="27" spans="1:18" s="18" customFormat="1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</row>
    <row r="28" spans="1:18" s="18" customForma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</row>
    <row r="29" spans="1:18" s="18" customForma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 s="18" customForma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s="18" customFormat="1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  <row r="32" spans="1:18" s="18" customFormat="1"/>
    <row r="33" s="18" customFormat="1"/>
  </sheetData>
  <hyperlinks>
    <hyperlink ref="A1" location="turinys!A1" display="Grįžti į turinį"/>
  </hyperlinks>
  <pageMargins left="0.75" right="0.82" top="1" bottom="1" header="0.5" footer="0.5"/>
  <pageSetup paperSize="9" orientation="portrait" verticalDpi="4" r:id="rId1"/>
  <headerFooter alignWithMargins="0">
    <oddHeader>&amp;A</oddHead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44"/>
  <sheetViews>
    <sheetView workbookViewId="0"/>
  </sheetViews>
  <sheetFormatPr defaultRowHeight="12.75"/>
  <cols>
    <col min="1" max="1" width="15.5703125" style="18" customWidth="1"/>
    <col min="2" max="3" width="9.140625" style="18" customWidth="1"/>
    <col min="4" max="4" width="12" style="18" customWidth="1"/>
    <col min="5" max="12" width="9.140625" style="18" customWidth="1"/>
    <col min="13" max="13" width="7.5703125" style="18" customWidth="1"/>
    <col min="14" max="14" width="9.140625" style="18" customWidth="1"/>
    <col min="15" max="15" width="11.140625" style="18" customWidth="1"/>
    <col min="16" max="16" width="13.5703125" style="18" customWidth="1"/>
    <col min="17" max="17" width="9.140625" style="18" customWidth="1"/>
    <col min="18" max="18" width="8.140625" style="18" customWidth="1"/>
    <col min="19" max="19" width="7.85546875" style="18" customWidth="1"/>
    <col min="20" max="16384" width="9.140625" style="18"/>
  </cols>
  <sheetData>
    <row r="1" spans="1:14" s="27" customFormat="1" ht="16.5" customHeight="1">
      <c r="A1" s="23" t="s">
        <v>225</v>
      </c>
    </row>
    <row r="2" spans="1:14" s="27" customFormat="1" ht="9.75" customHeight="1">
      <c r="A2" s="23"/>
    </row>
    <row r="3" spans="1:14" ht="15">
      <c r="A3"/>
      <c r="B3" s="169">
        <v>2010</v>
      </c>
      <c r="C3" s="169">
        <v>2011</v>
      </c>
      <c r="D3" s="169">
        <v>2012</v>
      </c>
      <c r="E3" s="169">
        <v>2013</v>
      </c>
      <c r="F3" s="169">
        <v>2014</v>
      </c>
      <c r="G3" s="169">
        <v>2015</v>
      </c>
      <c r="H3"/>
      <c r="I3"/>
      <c r="J3"/>
      <c r="K3"/>
      <c r="L3"/>
      <c r="M3"/>
      <c r="N3"/>
    </row>
    <row r="4" spans="1:14" ht="15">
      <c r="A4" t="s">
        <v>255</v>
      </c>
      <c r="B4" s="165">
        <v>22.3</v>
      </c>
      <c r="C4" s="165">
        <v>22.6</v>
      </c>
      <c r="D4" s="165">
        <v>17.100000000000001</v>
      </c>
      <c r="E4" s="165">
        <v>17.399999999999999</v>
      </c>
      <c r="F4" s="165">
        <v>16.100000000000001</v>
      </c>
      <c r="G4" s="165">
        <v>16.8</v>
      </c>
      <c r="H4" s="165"/>
      <c r="I4"/>
      <c r="J4"/>
      <c r="K4"/>
      <c r="L4"/>
      <c r="M4"/>
      <c r="N4"/>
    </row>
    <row r="5" spans="1:14" ht="15">
      <c r="A5" t="s">
        <v>257</v>
      </c>
      <c r="B5" s="165">
        <v>14.7</v>
      </c>
      <c r="C5" s="165">
        <v>13.6</v>
      </c>
      <c r="D5" s="165">
        <v>12.8</v>
      </c>
      <c r="E5" s="165">
        <v>12.5</v>
      </c>
      <c r="F5" s="165">
        <v>12.3</v>
      </c>
      <c r="G5" s="165">
        <v>11.7</v>
      </c>
      <c r="H5"/>
      <c r="I5"/>
      <c r="J5"/>
      <c r="K5"/>
      <c r="L5"/>
      <c r="M5"/>
      <c r="N5"/>
    </row>
    <row r="6" spans="1:14" ht="15">
      <c r="A6" t="s">
        <v>258</v>
      </c>
      <c r="B6" s="165">
        <v>17.399999999999999</v>
      </c>
      <c r="C6" s="165">
        <v>17.100000000000001</v>
      </c>
      <c r="D6" s="165">
        <v>15.2</v>
      </c>
      <c r="E6" s="165">
        <v>15.3</v>
      </c>
      <c r="F6" s="165">
        <v>14.6</v>
      </c>
      <c r="G6" s="165">
        <v>14.6</v>
      </c>
      <c r="H6"/>
      <c r="I6"/>
      <c r="J6"/>
      <c r="K6"/>
      <c r="L6"/>
      <c r="M6"/>
      <c r="N6"/>
    </row>
    <row r="7" spans="1:14" ht="15">
      <c r="A7" t="s">
        <v>256</v>
      </c>
      <c r="B7" s="165">
        <v>6.1</v>
      </c>
      <c r="C7" s="165">
        <v>5</v>
      </c>
      <c r="D7" s="165">
        <v>3</v>
      </c>
      <c r="E7" s="165">
        <v>2.2999999999999998</v>
      </c>
      <c r="F7" s="165">
        <v>2.2000000000000002</v>
      </c>
      <c r="G7" s="165">
        <v>2</v>
      </c>
      <c r="H7"/>
      <c r="I7"/>
      <c r="J7"/>
      <c r="K7"/>
      <c r="L7"/>
      <c r="M7"/>
      <c r="N7"/>
    </row>
    <row r="8" spans="1:14" ht="15">
      <c r="A8" t="s">
        <v>56</v>
      </c>
      <c r="B8" s="165">
        <f t="shared" ref="B8" si="0">SUM(B4:B7)</f>
        <v>60.5</v>
      </c>
      <c r="C8" s="165">
        <f>SUM(C4:C7)</f>
        <v>58.300000000000004</v>
      </c>
      <c r="D8" s="165">
        <f>SUM(D4:D7)</f>
        <v>48.1</v>
      </c>
      <c r="E8" s="165">
        <f>SUM(E4:E7)</f>
        <v>47.5</v>
      </c>
      <c r="F8" s="165">
        <f>SUM(F4:F7)</f>
        <v>45.2</v>
      </c>
      <c r="G8" s="165">
        <f>SUM(G4:G7)</f>
        <v>45.1</v>
      </c>
      <c r="H8" s="165"/>
      <c r="I8"/>
      <c r="J8"/>
      <c r="K8"/>
      <c r="L8"/>
      <c r="M8"/>
      <c r="N8"/>
    </row>
    <row r="9" spans="1:14" ht="15">
      <c r="A9"/>
      <c r="B9" s="165"/>
      <c r="C9" s="165"/>
      <c r="D9" s="165"/>
      <c r="E9" s="165"/>
      <c r="F9" s="165"/>
      <c r="G9" s="165"/>
      <c r="H9" s="165"/>
      <c r="I9"/>
      <c r="J9"/>
      <c r="K9"/>
      <c r="L9"/>
      <c r="M9"/>
      <c r="N9"/>
    </row>
    <row r="10" spans="1:14" ht="15">
      <c r="A10"/>
      <c r="B10" s="165"/>
      <c r="C10" s="165"/>
      <c r="D10" s="165"/>
      <c r="E10" s="165"/>
      <c r="F10" s="165"/>
      <c r="G10" s="165"/>
      <c r="H10" s="165"/>
      <c r="I10"/>
      <c r="J10"/>
      <c r="K10"/>
      <c r="L10"/>
      <c r="M10"/>
      <c r="N10"/>
    </row>
    <row r="11" spans="1:14" ht="15">
      <c r="A11"/>
      <c r="B11" s="165"/>
      <c r="C11" s="165"/>
      <c r="D11" s="165"/>
      <c r="E11" s="165"/>
      <c r="F11" s="165"/>
      <c r="G11" s="165"/>
      <c r="H11" s="165"/>
      <c r="I11"/>
      <c r="J11"/>
      <c r="K11"/>
      <c r="L11"/>
      <c r="M11"/>
      <c r="N11"/>
    </row>
    <row r="12" spans="1:14" ht="15">
      <c r="A12"/>
      <c r="B12"/>
      <c r="C12"/>
      <c r="D12"/>
      <c r="E12"/>
      <c r="F12"/>
      <c r="G12"/>
      <c r="H12"/>
      <c r="I12"/>
      <c r="J12"/>
      <c r="K12"/>
      <c r="L12"/>
      <c r="M12"/>
      <c r="N12"/>
    </row>
    <row r="13" spans="1:14" ht="15">
      <c r="A13"/>
      <c r="B13"/>
      <c r="C13"/>
      <c r="D13"/>
      <c r="E13"/>
      <c r="F13"/>
      <c r="G13"/>
      <c r="H13"/>
      <c r="I13"/>
      <c r="J13"/>
      <c r="K13"/>
      <c r="L13"/>
      <c r="M13"/>
      <c r="N13"/>
    </row>
    <row r="14" spans="1:14" ht="15">
      <c r="A14"/>
      <c r="B14"/>
      <c r="C14"/>
      <c r="D14"/>
      <c r="E14"/>
      <c r="F14"/>
      <c r="G14"/>
      <c r="H14"/>
      <c r="I14"/>
      <c r="J14"/>
      <c r="K14"/>
      <c r="L14"/>
      <c r="M14"/>
      <c r="N14"/>
    </row>
    <row r="15" spans="1:14" ht="15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ht="15">
      <c r="A16"/>
      <c r="B16"/>
      <c r="C16"/>
      <c r="D16"/>
      <c r="E16"/>
      <c r="F16"/>
      <c r="G16"/>
      <c r="H16"/>
      <c r="I16"/>
      <c r="J16"/>
      <c r="K16"/>
      <c r="L16"/>
      <c r="M16"/>
      <c r="N16"/>
    </row>
    <row r="17" spans="1:14" ht="15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ht="15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pans="1:14" ht="15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pans="1:14" ht="15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ht="1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1:14" ht="15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pans="1:14" ht="15">
      <c r="A23"/>
      <c r="B23"/>
      <c r="C23"/>
      <c r="D23"/>
      <c r="E23"/>
      <c r="F23"/>
      <c r="G23"/>
      <c r="H23"/>
      <c r="I23"/>
      <c r="J23"/>
      <c r="K23"/>
      <c r="L23"/>
      <c r="M23"/>
      <c r="N23"/>
    </row>
    <row r="24" spans="1:14" ht="15">
      <c r="A24"/>
      <c r="B24"/>
      <c r="C24"/>
      <c r="D24"/>
      <c r="E24"/>
      <c r="F24"/>
      <c r="G24"/>
      <c r="H24"/>
      <c r="I24"/>
      <c r="J24"/>
      <c r="K24"/>
      <c r="L24"/>
      <c r="M24"/>
      <c r="N24"/>
    </row>
    <row r="25" spans="1:14" ht="15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pans="1:14" ht="15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4" ht="15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pans="1:14" ht="15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pans="1:14" ht="15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pans="1:14" ht="15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  <row r="31" spans="1:14" ht="15">
      <c r="A31"/>
      <c r="B31"/>
      <c r="C31"/>
      <c r="D31"/>
      <c r="E31"/>
      <c r="F31"/>
      <c r="G31"/>
      <c r="H31"/>
      <c r="I31"/>
      <c r="J31"/>
      <c r="K31"/>
      <c r="L31"/>
      <c r="M31"/>
      <c r="N31"/>
    </row>
    <row r="32" spans="1:14" ht="15">
      <c r="A32"/>
      <c r="B32"/>
      <c r="C32"/>
      <c r="D32"/>
      <c r="E32"/>
      <c r="F32"/>
      <c r="G32"/>
      <c r="H32"/>
      <c r="I32"/>
      <c r="J32"/>
      <c r="K32"/>
      <c r="L32"/>
      <c r="M32"/>
      <c r="N32"/>
    </row>
    <row r="33" spans="1:14" ht="15">
      <c r="A33"/>
      <c r="B33"/>
      <c r="C33"/>
      <c r="D33"/>
      <c r="E33"/>
      <c r="F33"/>
      <c r="G33"/>
      <c r="H33"/>
      <c r="I33"/>
      <c r="J33"/>
      <c r="K33"/>
      <c r="L33"/>
      <c r="M33"/>
      <c r="N33"/>
    </row>
    <row r="34" spans="1:14" ht="15">
      <c r="A34"/>
      <c r="B34"/>
      <c r="C34"/>
      <c r="D34"/>
      <c r="E34"/>
      <c r="F34"/>
      <c r="G34"/>
      <c r="H34"/>
      <c r="I34"/>
      <c r="J34"/>
      <c r="K34"/>
      <c r="L34"/>
      <c r="M34"/>
      <c r="N34"/>
    </row>
    <row r="35" spans="1:14" ht="15">
      <c r="A35"/>
      <c r="B35"/>
      <c r="C35"/>
      <c r="D35"/>
      <c r="E35"/>
      <c r="F35"/>
      <c r="G35"/>
      <c r="H35"/>
      <c r="I35"/>
      <c r="J35"/>
      <c r="K35"/>
      <c r="L35"/>
      <c r="M35"/>
      <c r="N35"/>
    </row>
    <row r="36" spans="1:14" ht="15">
      <c r="A36"/>
      <c r="B36"/>
      <c r="C36"/>
      <c r="D36"/>
      <c r="E36"/>
      <c r="F36"/>
      <c r="G36"/>
      <c r="H36"/>
      <c r="I36"/>
      <c r="J36"/>
      <c r="K36"/>
      <c r="L36"/>
      <c r="M36"/>
      <c r="N36"/>
    </row>
    <row r="37" spans="1:14" ht="15">
      <c r="A37"/>
      <c r="B37"/>
      <c r="C37"/>
      <c r="D37"/>
      <c r="E37"/>
      <c r="F37"/>
      <c r="G37"/>
      <c r="H37"/>
      <c r="I37"/>
      <c r="J37"/>
      <c r="K37"/>
      <c r="L37"/>
      <c r="M37"/>
      <c r="N37"/>
    </row>
    <row r="38" spans="1:14" ht="15">
      <c r="A38"/>
      <c r="B38"/>
      <c r="C38"/>
      <c r="D38"/>
      <c r="E38"/>
      <c r="F38"/>
      <c r="G38"/>
      <c r="H38"/>
      <c r="I38"/>
      <c r="J38"/>
      <c r="K38"/>
      <c r="L38"/>
      <c r="M38"/>
      <c r="N38"/>
    </row>
    <row r="39" spans="1:14" ht="15">
      <c r="A39"/>
      <c r="B39"/>
      <c r="C39"/>
      <c r="D39"/>
      <c r="E39"/>
      <c r="F39"/>
      <c r="G39"/>
      <c r="H39"/>
      <c r="I39"/>
      <c r="J39"/>
      <c r="K39"/>
      <c r="L39"/>
      <c r="M39"/>
      <c r="N39"/>
    </row>
    <row r="40" spans="1:14" ht="15">
      <c r="A40"/>
      <c r="B40"/>
      <c r="C40"/>
      <c r="D40"/>
      <c r="E40"/>
      <c r="F40"/>
      <c r="G40"/>
      <c r="H40"/>
      <c r="I40"/>
      <c r="J40"/>
      <c r="K40"/>
      <c r="L40"/>
      <c r="M40"/>
      <c r="N40"/>
    </row>
    <row r="41" spans="1:14" ht="15">
      <c r="A41"/>
      <c r="B41"/>
      <c r="C41"/>
      <c r="D41"/>
      <c r="E41"/>
      <c r="F41"/>
      <c r="G41"/>
      <c r="H41"/>
      <c r="I41"/>
      <c r="J41"/>
      <c r="K41"/>
      <c r="L41"/>
      <c r="M41"/>
      <c r="N41"/>
    </row>
    <row r="42" spans="1:14" ht="15">
      <c r="A42"/>
      <c r="B42"/>
      <c r="C42"/>
      <c r="D42"/>
      <c r="E42"/>
      <c r="F42"/>
      <c r="G42"/>
      <c r="H42"/>
      <c r="I42"/>
      <c r="J42"/>
      <c r="K42"/>
      <c r="L42"/>
      <c r="M42"/>
      <c r="N42"/>
    </row>
    <row r="43" spans="1:14" ht="15">
      <c r="A43"/>
      <c r="B43"/>
      <c r="C43"/>
      <c r="D43"/>
      <c r="E43"/>
      <c r="F43"/>
      <c r="G43"/>
      <c r="H43"/>
      <c r="I43"/>
      <c r="J43"/>
      <c r="K43"/>
      <c r="L43"/>
      <c r="M43"/>
      <c r="N43"/>
    </row>
    <row r="44" spans="1:14" ht="15">
      <c r="A44"/>
      <c r="B44"/>
      <c r="C44"/>
      <c r="D44"/>
      <c r="E44"/>
      <c r="F44"/>
      <c r="G44"/>
      <c r="H44"/>
      <c r="I44"/>
      <c r="J44"/>
      <c r="K44"/>
      <c r="L44"/>
      <c r="M44"/>
      <c r="N44"/>
    </row>
  </sheetData>
  <hyperlinks>
    <hyperlink ref="A1" location="turinys!A1" display="Grįžti į turinį"/>
  </hyperlinks>
  <pageMargins left="0.41" right="0.25" top="0.72" bottom="0.67" header="0.5" footer="0.5"/>
  <pageSetup paperSize="9" orientation="portrait" verticalDpi="4" r:id="rId1"/>
  <headerFooter alignWithMargins="0">
    <oddHeader>&amp;A</oddHead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38"/>
  <sheetViews>
    <sheetView workbookViewId="0">
      <selection activeCell="E25" sqref="E25"/>
    </sheetView>
  </sheetViews>
  <sheetFormatPr defaultRowHeight="12.75"/>
  <cols>
    <col min="1" max="1" width="15.5703125" style="18" customWidth="1"/>
    <col min="2" max="3" width="9.140625" style="18" customWidth="1"/>
    <col min="4" max="4" width="12" style="18" customWidth="1"/>
    <col min="5" max="12" width="9.140625" style="18" customWidth="1"/>
    <col min="13" max="13" width="7.5703125" style="18" customWidth="1"/>
    <col min="14" max="14" width="9.140625" style="18" customWidth="1"/>
    <col min="15" max="15" width="11.140625" style="18" customWidth="1"/>
    <col min="16" max="16" width="13.5703125" style="18" customWidth="1"/>
    <col min="17" max="17" width="9.140625" style="18" customWidth="1"/>
    <col min="18" max="18" width="8.140625" style="18" customWidth="1"/>
    <col min="19" max="19" width="7.85546875" style="18" customWidth="1"/>
    <col min="20" max="16384" width="9.140625" style="18"/>
  </cols>
  <sheetData>
    <row r="1" spans="1:13" s="27" customFormat="1" ht="16.5" customHeight="1">
      <c r="A1" s="23" t="s">
        <v>225</v>
      </c>
    </row>
    <row r="2" spans="1:13" s="27" customFormat="1" ht="11.25" customHeight="1">
      <c r="A2" s="23"/>
    </row>
    <row r="3" spans="1:13" ht="15.75">
      <c r="A3"/>
      <c r="B3" s="170" t="s">
        <v>268</v>
      </c>
      <c r="C3" s="171">
        <v>87881</v>
      </c>
      <c r="D3" s="30">
        <f>C3/$C$9</f>
        <v>5.2350628462500746</v>
      </c>
      <c r="E3" s="172"/>
      <c r="F3" s="173"/>
      <c r="G3" s="172"/>
      <c r="H3" s="172"/>
      <c r="I3" s="174"/>
      <c r="J3"/>
      <c r="K3"/>
      <c r="L3"/>
      <c r="M3"/>
    </row>
    <row r="4" spans="1:13" ht="15.75">
      <c r="A4"/>
      <c r="B4" s="170" t="s">
        <v>269</v>
      </c>
      <c r="C4" s="171">
        <v>134276</v>
      </c>
      <c r="D4" s="30">
        <f t="shared" ref="D4:D9" si="0">C4/$C$9</f>
        <v>7.9988086018943232</v>
      </c>
      <c r="E4" s="175"/>
      <c r="F4" s="176"/>
      <c r="G4" s="175"/>
      <c r="H4" s="175"/>
      <c r="I4" s="174"/>
      <c r="J4"/>
      <c r="K4"/>
      <c r="L4"/>
      <c r="M4"/>
    </row>
    <row r="5" spans="1:13" ht="15.75">
      <c r="A5"/>
      <c r="B5" s="170" t="s">
        <v>270</v>
      </c>
      <c r="C5" s="171">
        <v>120234</v>
      </c>
      <c r="D5" s="30">
        <f t="shared" si="0"/>
        <v>7.1623279918984926</v>
      </c>
      <c r="E5" s="175"/>
      <c r="F5" s="176"/>
      <c r="G5" s="175"/>
      <c r="H5" s="175"/>
      <c r="I5" s="174"/>
      <c r="J5"/>
      <c r="K5"/>
      <c r="L5"/>
      <c r="M5"/>
    </row>
    <row r="6" spans="1:13" ht="15.75">
      <c r="A6"/>
      <c r="B6" s="170" t="s">
        <v>271</v>
      </c>
      <c r="C6" s="171">
        <v>110667</v>
      </c>
      <c r="D6" s="30">
        <f t="shared" si="0"/>
        <v>6.5924227080478941</v>
      </c>
      <c r="E6" s="175"/>
      <c r="F6" s="176"/>
      <c r="G6" s="175"/>
      <c r="H6" s="175"/>
      <c r="I6" s="174"/>
      <c r="J6"/>
      <c r="K6"/>
      <c r="L6"/>
      <c r="M6"/>
    </row>
    <row r="7" spans="1:13" ht="15.75">
      <c r="A7"/>
      <c r="B7" s="170" t="s">
        <v>272</v>
      </c>
      <c r="C7" s="171">
        <v>80679</v>
      </c>
      <c r="D7" s="30">
        <f t="shared" si="0"/>
        <v>4.8060403883957825</v>
      </c>
      <c r="E7" s="175"/>
      <c r="F7" s="176"/>
      <c r="G7" s="175"/>
      <c r="H7" s="175"/>
      <c r="I7" s="174"/>
      <c r="J7"/>
      <c r="K7"/>
      <c r="L7"/>
      <c r="M7"/>
    </row>
    <row r="8" spans="1:13" ht="15.75">
      <c r="A8"/>
      <c r="B8" s="170" t="s">
        <v>273</v>
      </c>
      <c r="C8" s="171">
        <v>45439</v>
      </c>
      <c r="D8" s="30">
        <f t="shared" si="0"/>
        <v>2.7067969261928875</v>
      </c>
      <c r="E8" s="175"/>
      <c r="F8" s="176"/>
      <c r="G8" s="175"/>
      <c r="H8" s="175"/>
      <c r="I8" s="174"/>
      <c r="J8"/>
      <c r="K8"/>
      <c r="L8"/>
      <c r="M8"/>
    </row>
    <row r="9" spans="1:13" ht="15.75">
      <c r="A9"/>
      <c r="B9" s="170" t="s">
        <v>274</v>
      </c>
      <c r="C9" s="171">
        <v>16787</v>
      </c>
      <c r="D9" s="30">
        <f t="shared" si="0"/>
        <v>1</v>
      </c>
      <c r="E9" s="175"/>
      <c r="F9" s="176"/>
      <c r="G9" s="175"/>
      <c r="H9" s="175"/>
      <c r="I9" s="174"/>
      <c r="J9"/>
      <c r="K9"/>
      <c r="L9"/>
      <c r="M9"/>
    </row>
    <row r="10" spans="1:13" ht="15" customHeight="1">
      <c r="A10"/>
      <c r="B10" s="177" t="s">
        <v>56</v>
      </c>
      <c r="C10" s="178">
        <f>SUM(C3:C9)</f>
        <v>595963</v>
      </c>
      <c r="D10" s="31">
        <f>SUM(D3:D9)</f>
        <v>35.501459462679456</v>
      </c>
      <c r="E10" s="175"/>
      <c r="F10" s="175"/>
      <c r="G10" s="175"/>
      <c r="H10" s="175"/>
      <c r="I10" s="174"/>
      <c r="J10"/>
      <c r="K10"/>
      <c r="L10"/>
      <c r="M10"/>
    </row>
    <row r="11" spans="1:13" ht="15">
      <c r="A11"/>
      <c r="B11"/>
      <c r="C11"/>
      <c r="D11"/>
      <c r="E11" s="175"/>
      <c r="F11" s="175"/>
      <c r="G11" s="175"/>
      <c r="H11" s="175"/>
      <c r="I11" s="174"/>
      <c r="J11"/>
      <c r="K11"/>
      <c r="L11"/>
      <c r="M11"/>
    </row>
    <row r="12" spans="1:13" ht="15">
      <c r="A12"/>
      <c r="B12"/>
      <c r="C12"/>
      <c r="D12"/>
      <c r="E12" s="179"/>
      <c r="F12" s="179"/>
      <c r="G12" s="179"/>
      <c r="H12" s="179"/>
      <c r="I12" s="174"/>
      <c r="J12"/>
      <c r="K12"/>
      <c r="L12"/>
      <c r="M12"/>
    </row>
    <row r="13" spans="1:13" ht="15">
      <c r="A13"/>
      <c r="B13"/>
      <c r="C13"/>
      <c r="D13"/>
      <c r="E13" s="174"/>
      <c r="F13" s="174"/>
      <c r="G13" s="174"/>
      <c r="H13" s="174"/>
      <c r="I13" s="174"/>
      <c r="J13"/>
      <c r="K13"/>
      <c r="L13"/>
      <c r="M13"/>
    </row>
    <row r="14" spans="1:13" ht="15">
      <c r="A14"/>
      <c r="B14" s="180"/>
      <c r="C14"/>
      <c r="D14" s="32"/>
      <c r="E14"/>
      <c r="F14"/>
      <c r="G14"/>
      <c r="H14"/>
      <c r="I14"/>
      <c r="J14"/>
      <c r="K14"/>
      <c r="L14"/>
      <c r="M14"/>
    </row>
    <row r="15" spans="1:13" ht="15">
      <c r="A15"/>
      <c r="B15" s="180"/>
      <c r="C15"/>
      <c r="D15" s="32"/>
      <c r="E15"/>
      <c r="F15"/>
      <c r="G15"/>
      <c r="H15"/>
      <c r="I15"/>
      <c r="J15"/>
      <c r="K15"/>
      <c r="L15"/>
      <c r="M15"/>
    </row>
    <row r="16" spans="1:13" ht="15">
      <c r="A16"/>
      <c r="B16" s="180"/>
      <c r="C16"/>
      <c r="D16" s="32"/>
      <c r="E16"/>
      <c r="F16"/>
      <c r="G16"/>
      <c r="H16"/>
      <c r="I16"/>
      <c r="J16"/>
      <c r="K16"/>
      <c r="L16"/>
      <c r="M16"/>
    </row>
    <row r="17" spans="1:13" ht="15">
      <c r="A17"/>
      <c r="B17" s="180"/>
      <c r="C17"/>
      <c r="D17" s="32"/>
      <c r="E17"/>
      <c r="F17"/>
      <c r="G17"/>
      <c r="H17"/>
      <c r="I17"/>
      <c r="J17"/>
      <c r="K17"/>
      <c r="L17"/>
      <c r="M17"/>
    </row>
    <row r="18" spans="1:13" ht="15">
      <c r="A18"/>
      <c r="B18" s="180"/>
      <c r="C18"/>
      <c r="D18" s="32"/>
      <c r="E18"/>
      <c r="F18"/>
      <c r="G18"/>
      <c r="H18"/>
      <c r="I18"/>
      <c r="J18"/>
      <c r="K18"/>
      <c r="L18"/>
      <c r="M18"/>
    </row>
    <row r="19" spans="1:13" ht="15">
      <c r="A19"/>
      <c r="B19" s="180"/>
      <c r="C19"/>
      <c r="D19" s="32"/>
      <c r="E19"/>
      <c r="F19"/>
      <c r="G19"/>
      <c r="H19"/>
      <c r="I19"/>
      <c r="J19"/>
      <c r="K19"/>
      <c r="L19"/>
      <c r="M19"/>
    </row>
    <row r="20" spans="1:13" ht="15">
      <c r="A20"/>
      <c r="B20" s="180"/>
      <c r="C20"/>
      <c r="D20" s="32"/>
      <c r="E20"/>
      <c r="F20"/>
      <c r="G20"/>
      <c r="H20"/>
      <c r="I20"/>
      <c r="J20"/>
      <c r="K20"/>
      <c r="L20"/>
      <c r="M20"/>
    </row>
    <row r="21" spans="1:13" ht="15">
      <c r="A21"/>
      <c r="B21" s="180"/>
      <c r="C21"/>
      <c r="D21" s="32"/>
      <c r="E21"/>
      <c r="F21"/>
      <c r="G21"/>
      <c r="H21"/>
      <c r="I21"/>
      <c r="J21"/>
      <c r="K21"/>
      <c r="L21"/>
      <c r="M21"/>
    </row>
    <row r="22" spans="1:13" ht="15">
      <c r="A22"/>
      <c r="B22" s="180"/>
      <c r="C22" s="174"/>
      <c r="D22" s="32"/>
      <c r="E22"/>
      <c r="F22"/>
      <c r="G22"/>
      <c r="H22"/>
      <c r="I22"/>
      <c r="J22"/>
      <c r="K22"/>
      <c r="L22"/>
      <c r="M22"/>
    </row>
    <row r="23" spans="1:13" ht="15">
      <c r="A23"/>
      <c r="B23" s="181"/>
      <c r="C23" s="182"/>
      <c r="D23" s="33"/>
      <c r="E23"/>
      <c r="F23"/>
      <c r="G23"/>
      <c r="H23"/>
      <c r="I23"/>
      <c r="J23"/>
      <c r="K23"/>
      <c r="L23"/>
      <c r="M23"/>
    </row>
    <row r="24" spans="1:13" ht="15">
      <c r="A24"/>
      <c r="B24" s="181"/>
      <c r="C24" s="182"/>
      <c r="D24" s="33"/>
      <c r="E24"/>
      <c r="F24"/>
      <c r="G24"/>
      <c r="H24"/>
      <c r="I24"/>
      <c r="J24"/>
      <c r="K24"/>
      <c r="L24"/>
      <c r="M24"/>
    </row>
    <row r="25" spans="1:13" ht="15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5">
      <c r="A26"/>
      <c r="B26"/>
      <c r="C26"/>
      <c r="D26"/>
      <c r="E26" s="183"/>
      <c r="F26" s="183"/>
      <c r="G26" s="183"/>
      <c r="H26" s="183"/>
      <c r="I26" s="174"/>
      <c r="J26"/>
      <c r="K26"/>
      <c r="L26"/>
      <c r="M26"/>
    </row>
    <row r="27" spans="1:13" ht="15">
      <c r="A27"/>
      <c r="B27"/>
      <c r="C27"/>
      <c r="D27"/>
      <c r="E27" s="183"/>
      <c r="F27" s="183"/>
      <c r="G27" s="183"/>
      <c r="H27" s="183"/>
      <c r="I27" s="174"/>
      <c r="J27"/>
      <c r="K27"/>
      <c r="L27"/>
      <c r="M27"/>
    </row>
    <row r="28" spans="1:13" ht="15">
      <c r="A28"/>
      <c r="B28"/>
      <c r="C28"/>
      <c r="D28"/>
      <c r="E28" s="183"/>
      <c r="F28" s="183"/>
      <c r="G28" s="183"/>
      <c r="H28" s="183"/>
      <c r="I28" s="174"/>
      <c r="J28"/>
      <c r="K28"/>
      <c r="L28"/>
      <c r="M28"/>
    </row>
    <row r="29" spans="1:13" ht="15">
      <c r="A29"/>
      <c r="B29"/>
      <c r="C29"/>
      <c r="D29"/>
      <c r="E29" s="183"/>
      <c r="F29" s="183"/>
      <c r="G29" s="183"/>
      <c r="H29" s="183"/>
      <c r="I29" s="174"/>
      <c r="J29"/>
      <c r="K29"/>
      <c r="L29"/>
      <c r="M29"/>
    </row>
    <row r="30" spans="1:13" ht="15">
      <c r="A30"/>
      <c r="B30"/>
      <c r="C30"/>
      <c r="D30"/>
      <c r="E30" s="183"/>
      <c r="F30" s="183"/>
      <c r="G30" s="183"/>
      <c r="H30" s="183"/>
      <c r="I30" s="174"/>
      <c r="J30"/>
      <c r="K30"/>
      <c r="L30"/>
      <c r="M30"/>
    </row>
    <row r="31" spans="1:13" ht="15">
      <c r="A31"/>
      <c r="B31"/>
      <c r="C31"/>
      <c r="D31"/>
      <c r="E31" s="183"/>
      <c r="F31" s="183"/>
      <c r="G31" s="183"/>
      <c r="H31" s="183"/>
      <c r="I31" s="174"/>
      <c r="J31"/>
      <c r="K31"/>
      <c r="L31"/>
      <c r="M31"/>
    </row>
    <row r="32" spans="1:13" ht="15">
      <c r="A32"/>
      <c r="B32"/>
      <c r="C32"/>
      <c r="D32"/>
      <c r="E32" s="183"/>
      <c r="F32" s="183"/>
      <c r="G32" s="183"/>
      <c r="H32" s="183"/>
      <c r="I32" s="174"/>
      <c r="J32"/>
      <c r="K32"/>
      <c r="L32"/>
      <c r="M32"/>
    </row>
    <row r="33" spans="1:13" ht="15">
      <c r="A33"/>
      <c r="B33"/>
      <c r="C33"/>
      <c r="D33"/>
      <c r="E33" s="183"/>
      <c r="F33" s="183"/>
      <c r="G33" s="183"/>
      <c r="H33" s="183"/>
      <c r="I33" s="174"/>
      <c r="J33"/>
      <c r="K33"/>
      <c r="L33"/>
      <c r="M33"/>
    </row>
    <row r="34" spans="1:13" ht="15">
      <c r="A34"/>
      <c r="B34"/>
      <c r="C34"/>
      <c r="D34"/>
      <c r="E34" s="183"/>
      <c r="F34" s="183"/>
      <c r="G34" s="183"/>
      <c r="H34" s="183"/>
      <c r="I34" s="174"/>
      <c r="J34"/>
      <c r="K34"/>
      <c r="L34"/>
      <c r="M34"/>
    </row>
    <row r="35" spans="1:13" ht="15">
      <c r="A35"/>
      <c r="B35"/>
      <c r="C35"/>
      <c r="D35"/>
      <c r="E35" s="183"/>
      <c r="F35" s="183"/>
      <c r="G35" s="183"/>
      <c r="H35" s="183"/>
      <c r="I35" s="174"/>
      <c r="J35"/>
      <c r="K35"/>
      <c r="L35"/>
      <c r="M35"/>
    </row>
    <row r="36" spans="1:13" ht="15">
      <c r="A36"/>
      <c r="B36"/>
      <c r="C36"/>
      <c r="D36"/>
      <c r="E36" s="183"/>
      <c r="F36" s="183"/>
      <c r="G36" s="183"/>
      <c r="H36" s="183"/>
      <c r="I36" s="174"/>
      <c r="J36"/>
      <c r="K36"/>
      <c r="L36"/>
      <c r="M36"/>
    </row>
    <row r="37" spans="1:13" ht="15">
      <c r="A37"/>
      <c r="B37"/>
      <c r="C37"/>
      <c r="D37"/>
      <c r="E37" s="183"/>
      <c r="F37" s="183"/>
      <c r="G37" s="183"/>
      <c r="H37" s="183"/>
      <c r="I37" s="174"/>
      <c r="J37"/>
      <c r="K37"/>
      <c r="L37"/>
      <c r="M37"/>
    </row>
    <row r="38" spans="1:13" ht="15">
      <c r="A38"/>
      <c r="B38"/>
      <c r="C38"/>
      <c r="D38"/>
      <c r="E38" s="183"/>
      <c r="F38" s="183"/>
      <c r="G38" s="183"/>
      <c r="H38" s="183"/>
      <c r="I38" s="174"/>
      <c r="J38"/>
      <c r="K38"/>
      <c r="L38"/>
      <c r="M38"/>
    </row>
  </sheetData>
  <hyperlinks>
    <hyperlink ref="A1" location="turinys!A1" display="Grįžti į turinį"/>
  </hyperlinks>
  <pageMargins left="0.41" right="0.25" top="0.72" bottom="0.67" header="0.5" footer="0.5"/>
  <pageSetup paperSize="9" orientation="portrait" verticalDpi="4" r:id="rId1"/>
  <headerFooter alignWithMargins="0">
    <oddHeader>&amp;A</oddHead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32"/>
  <sheetViews>
    <sheetView workbookViewId="0">
      <selection activeCell="J28" sqref="J28"/>
    </sheetView>
  </sheetViews>
  <sheetFormatPr defaultRowHeight="12.75"/>
  <cols>
    <col min="1" max="1" width="9.140625" style="18"/>
    <col min="2" max="2" width="10.42578125" style="18" customWidth="1"/>
    <col min="3" max="16384" width="9.140625" style="18"/>
  </cols>
  <sheetData>
    <row r="1" spans="1:8" s="27" customFormat="1" ht="16.5" customHeight="1">
      <c r="A1" s="23" t="s">
        <v>225</v>
      </c>
    </row>
    <row r="2" spans="1:8" customFormat="1" ht="15">
      <c r="A2" s="181" t="s">
        <v>513</v>
      </c>
      <c r="B2" s="182">
        <v>21106</v>
      </c>
      <c r="C2" s="33">
        <f>B2/$B$13</f>
        <v>3.8937942078289135E-2</v>
      </c>
      <c r="D2" s="183"/>
      <c r="E2" s="34">
        <v>7.5013844656679401E-2</v>
      </c>
      <c r="F2" s="183"/>
      <c r="G2" s="183"/>
      <c r="H2" s="174"/>
    </row>
    <row r="3" spans="1:8" customFormat="1" ht="15">
      <c r="A3" s="181" t="s">
        <v>514</v>
      </c>
      <c r="B3" s="182">
        <v>66934</v>
      </c>
      <c r="C3" s="33">
        <f t="shared" ref="C3:C12" si="0">B3/$B$13</f>
        <v>0.12348489600436867</v>
      </c>
      <c r="D3" s="183"/>
      <c r="E3" s="34">
        <v>9.4912514315106181E-2</v>
      </c>
      <c r="F3" s="183"/>
      <c r="G3" s="183"/>
      <c r="H3" s="174"/>
    </row>
    <row r="4" spans="1:8" customFormat="1" ht="15">
      <c r="A4" s="181" t="s">
        <v>515</v>
      </c>
      <c r="B4" s="182">
        <v>91784</v>
      </c>
      <c r="C4" s="33">
        <f t="shared" si="0"/>
        <v>0.16933005191479628</v>
      </c>
      <c r="D4" s="184"/>
      <c r="E4" s="35">
        <v>0.1155495656631008</v>
      </c>
      <c r="F4" s="184"/>
      <c r="G4" s="184"/>
      <c r="H4" s="174"/>
    </row>
    <row r="5" spans="1:8" customFormat="1" ht="15">
      <c r="A5" s="181" t="s">
        <v>516</v>
      </c>
      <c r="B5" s="182">
        <v>89440</v>
      </c>
      <c r="C5" s="33">
        <f t="shared" si="0"/>
        <v>0.1650056637677523</v>
      </c>
      <c r="D5" s="174"/>
      <c r="E5" s="36">
        <v>0.10971599187780141</v>
      </c>
      <c r="F5" s="174"/>
      <c r="G5" s="174"/>
      <c r="H5" s="174"/>
    </row>
    <row r="6" spans="1:8" customFormat="1" ht="15">
      <c r="A6" s="181" t="s">
        <v>517</v>
      </c>
      <c r="B6" s="182">
        <v>75860</v>
      </c>
      <c r="C6" s="33">
        <f t="shared" si="0"/>
        <v>0.13995225462233554</v>
      </c>
      <c r="D6" s="174"/>
      <c r="E6" s="36">
        <v>0.10678217919376605</v>
      </c>
      <c r="F6" s="174"/>
      <c r="G6" s="174"/>
      <c r="H6" s="174"/>
    </row>
    <row r="7" spans="1:8" customFormat="1" ht="15">
      <c r="A7" s="181" t="s">
        <v>518</v>
      </c>
      <c r="B7" s="182">
        <v>60528</v>
      </c>
      <c r="C7" s="33">
        <f t="shared" si="0"/>
        <v>0.11166662361957191</v>
      </c>
      <c r="E7" s="24">
        <v>9.3862291814895596E-2</v>
      </c>
    </row>
    <row r="8" spans="1:8" customFormat="1" ht="15">
      <c r="A8" s="181" t="s">
        <v>519</v>
      </c>
      <c r="B8" s="182">
        <v>44668</v>
      </c>
      <c r="C8" s="33">
        <f t="shared" si="0"/>
        <v>8.2406898358429792E-2</v>
      </c>
      <c r="E8" s="24">
        <v>8.2349272461051268E-2</v>
      </c>
    </row>
    <row r="9" spans="1:8" customFormat="1" ht="15">
      <c r="A9" s="181" t="s">
        <v>520</v>
      </c>
      <c r="B9" s="182">
        <v>30833</v>
      </c>
      <c r="C9" s="33">
        <f t="shared" si="0"/>
        <v>5.6883045963227942E-2</v>
      </c>
      <c r="E9" s="24">
        <v>7.0866720312844439E-2</v>
      </c>
    </row>
    <row r="10" spans="1:8" customFormat="1" ht="15">
      <c r="A10" s="181" t="s">
        <v>521</v>
      </c>
      <c r="B10" s="182">
        <v>32863</v>
      </c>
      <c r="C10" s="33">
        <f t="shared" si="0"/>
        <v>6.0628143206614984E-2</v>
      </c>
      <c r="E10" s="24">
        <v>5.8543631726755765E-2</v>
      </c>
    </row>
    <row r="11" spans="1:8" customFormat="1" ht="15">
      <c r="A11" s="181" t="s">
        <v>522</v>
      </c>
      <c r="B11" s="182">
        <v>19350</v>
      </c>
      <c r="C11" s="33">
        <f t="shared" si="0"/>
        <v>3.5698340718984874E-2</v>
      </c>
      <c r="E11" s="24">
        <v>8.3329599607152263E-2</v>
      </c>
    </row>
    <row r="12" spans="1:8" customFormat="1" ht="15">
      <c r="A12" s="185" t="s">
        <v>523</v>
      </c>
      <c r="B12" s="182">
        <v>8676</v>
      </c>
      <c r="C12" s="33">
        <f t="shared" si="0"/>
        <v>1.6006139745628568E-2</v>
      </c>
      <c r="E12" s="24">
        <v>6.1072409794668957E-2</v>
      </c>
    </row>
    <row r="13" spans="1:8" customFormat="1" ht="15.75" thickBot="1">
      <c r="A13" s="186"/>
      <c r="B13" s="187">
        <f>SUM(B2:B12)</f>
        <v>542042</v>
      </c>
      <c r="C13" s="188">
        <f>SUM(C1:C12)</f>
        <v>1</v>
      </c>
      <c r="E13" s="24">
        <v>1</v>
      </c>
    </row>
    <row r="14" spans="1:8" customFormat="1" ht="15"/>
    <row r="15" spans="1:8" customFormat="1" ht="15"/>
    <row r="16" spans="1:8" customFormat="1" ht="15"/>
    <row r="17" spans="2:3" customFormat="1" ht="15"/>
    <row r="18" spans="2:3" customFormat="1" ht="15"/>
    <row r="19" spans="2:3" customFormat="1" ht="15"/>
    <row r="20" spans="2:3" customFormat="1" ht="15"/>
    <row r="21" spans="2:3" customFormat="1" ht="15"/>
    <row r="22" spans="2:3" customFormat="1" ht="15"/>
    <row r="23" spans="2:3" customFormat="1" ht="15">
      <c r="B23" s="182"/>
      <c r="C23" s="33"/>
    </row>
    <row r="24" spans="2:3" customFormat="1" ht="15">
      <c r="B24" s="182"/>
      <c r="C24" s="33"/>
    </row>
    <row r="25" spans="2:3" customFormat="1" ht="15"/>
    <row r="26" spans="2:3" customFormat="1" ht="15"/>
    <row r="27" spans="2:3" customFormat="1" ht="15"/>
    <row r="28" spans="2:3" customFormat="1" ht="15"/>
    <row r="29" spans="2:3" customFormat="1" ht="15"/>
    <row r="30" spans="2:3" customFormat="1" ht="15"/>
    <row r="31" spans="2:3" customFormat="1" ht="15"/>
    <row r="32" spans="2:3" customFormat="1" ht="15"/>
    <row r="33" customFormat="1" ht="15"/>
    <row r="34" customFormat="1" ht="15"/>
    <row r="35" customFormat="1" ht="15"/>
    <row r="36" customFormat="1" ht="15"/>
    <row r="37" customFormat="1" ht="15"/>
    <row r="38" customFormat="1" ht="15"/>
    <row r="39" customFormat="1" ht="15"/>
    <row r="40" customFormat="1" ht="15"/>
    <row r="41" customFormat="1" ht="15"/>
    <row r="42" customFormat="1" ht="15"/>
    <row r="43" customFormat="1" ht="15"/>
    <row r="44" customFormat="1" ht="15"/>
    <row r="45" customFormat="1" ht="15"/>
    <row r="46" customFormat="1" ht="15"/>
    <row r="47" customFormat="1" ht="15"/>
    <row r="48" customFormat="1" ht="15"/>
    <row r="49" customFormat="1" ht="15"/>
    <row r="50" customFormat="1" ht="15"/>
    <row r="51" customFormat="1" ht="15"/>
    <row r="52" customFormat="1" ht="15"/>
    <row r="53" customFormat="1" ht="15"/>
    <row r="54" customFormat="1" ht="15"/>
    <row r="55" customFormat="1" ht="15"/>
    <row r="56" customFormat="1" ht="15"/>
    <row r="57" customFormat="1" ht="15"/>
    <row r="58" customFormat="1" ht="15"/>
    <row r="59" customFormat="1" ht="15"/>
    <row r="60" customFormat="1" ht="15"/>
    <row r="61" customFormat="1" ht="15"/>
    <row r="62" customFormat="1" ht="15"/>
    <row r="63" customFormat="1" ht="15"/>
    <row r="64" customFormat="1" ht="15"/>
    <row r="65" customFormat="1" ht="15"/>
    <row r="66" customFormat="1" ht="15"/>
    <row r="67" customFormat="1" ht="15"/>
    <row r="68" customFormat="1" ht="15"/>
    <row r="69" customFormat="1" ht="15"/>
    <row r="70" customFormat="1" ht="15"/>
    <row r="71" customFormat="1" ht="15"/>
    <row r="72" customFormat="1" ht="15"/>
    <row r="73" customFormat="1" ht="15"/>
    <row r="74" customFormat="1" ht="15"/>
    <row r="75" customFormat="1" ht="15"/>
    <row r="76" customFormat="1" ht="15"/>
    <row r="77" customFormat="1" ht="15"/>
    <row r="78" customFormat="1" ht="15"/>
    <row r="79" customFormat="1" ht="15"/>
    <row r="80" customFormat="1" ht="15"/>
    <row r="81" customFormat="1" ht="15"/>
    <row r="82" customFormat="1" ht="15"/>
    <row r="83" customFormat="1" ht="15"/>
    <row r="84" customFormat="1" ht="15"/>
    <row r="85" customFormat="1" ht="15"/>
    <row r="86" customFormat="1" ht="15"/>
    <row r="87" customFormat="1" ht="15"/>
    <row r="88" customFormat="1" ht="15"/>
    <row r="89" customFormat="1" ht="15"/>
    <row r="90" customFormat="1" ht="15"/>
    <row r="91" customFormat="1" ht="15"/>
    <row r="92" customFormat="1" ht="15"/>
    <row r="93" customFormat="1" ht="15"/>
    <row r="94" customFormat="1" ht="15"/>
    <row r="95" customFormat="1" ht="15"/>
    <row r="96" customFormat="1" ht="15"/>
    <row r="97" customFormat="1" ht="15"/>
    <row r="98" customFormat="1" ht="15"/>
    <row r="99" customFormat="1" ht="15"/>
    <row r="100" customFormat="1" ht="15"/>
    <row r="101" customFormat="1" ht="15"/>
    <row r="102" customFormat="1" ht="15"/>
    <row r="103" customFormat="1" ht="15"/>
    <row r="104" customFormat="1" ht="15"/>
    <row r="105" customFormat="1" ht="15"/>
    <row r="106" customFormat="1" ht="15"/>
    <row r="107" customFormat="1" ht="15"/>
    <row r="108" customFormat="1" ht="15"/>
    <row r="109" customFormat="1" ht="15"/>
    <row r="110" customFormat="1" ht="15"/>
    <row r="111" customFormat="1" ht="15"/>
    <row r="112" customFormat="1" ht="15"/>
    <row r="113" customFormat="1" ht="15"/>
    <row r="114" customFormat="1" ht="15"/>
    <row r="115" customFormat="1" ht="15"/>
    <row r="116" customFormat="1" ht="15"/>
    <row r="117" customFormat="1" ht="15"/>
    <row r="118" customFormat="1" ht="15"/>
    <row r="119" customFormat="1" ht="15"/>
    <row r="120" customFormat="1" ht="15"/>
    <row r="121" customFormat="1" ht="15"/>
    <row r="122" customFormat="1" ht="15"/>
    <row r="123" customFormat="1" ht="15"/>
    <row r="124" customFormat="1" ht="15"/>
    <row r="125" customFormat="1" ht="15"/>
    <row r="126" customFormat="1" ht="15"/>
    <row r="127" customFormat="1" ht="15"/>
    <row r="128" customFormat="1" ht="15"/>
    <row r="129" customFormat="1" ht="15"/>
    <row r="130" customFormat="1" ht="15"/>
    <row r="131" customFormat="1" ht="15"/>
    <row r="132" customFormat="1" ht="15"/>
  </sheetData>
  <hyperlinks>
    <hyperlink ref="A1" location="turinys!A1" display="Grįžti į turinį"/>
  </hyperlinks>
  <pageMargins left="0.75" right="0.24" top="1" bottom="0.67" header="0.5" footer="0.5"/>
  <pageSetup paperSize="9" orientation="portrait" horizontalDpi="4294967292" r:id="rId1"/>
  <headerFooter alignWithMargins="0">
    <oddHeader>&amp;A</oddHead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workbookViewId="0">
      <selection activeCell="H22" sqref="H22"/>
    </sheetView>
  </sheetViews>
  <sheetFormatPr defaultRowHeight="12.75"/>
  <cols>
    <col min="1" max="1" width="9.140625" style="18"/>
    <col min="2" max="2" width="10.42578125" style="18" customWidth="1"/>
    <col min="3" max="16384" width="9.140625" style="18"/>
  </cols>
  <sheetData>
    <row r="1" spans="1:19" s="27" customFormat="1" ht="16.5" customHeight="1">
      <c r="A1" s="23" t="s">
        <v>225</v>
      </c>
    </row>
    <row r="2" spans="1:19" s="151" customFormat="1" hidden="1">
      <c r="B2" s="189">
        <v>1998</v>
      </c>
      <c r="C2" s="189">
        <v>1999</v>
      </c>
      <c r="D2" s="189">
        <v>2000</v>
      </c>
      <c r="E2" s="189">
        <v>2001</v>
      </c>
      <c r="F2" s="189">
        <v>2002</v>
      </c>
      <c r="G2" s="189">
        <v>2003</v>
      </c>
      <c r="H2" s="189">
        <v>2004</v>
      </c>
      <c r="I2" s="189">
        <v>2005</v>
      </c>
      <c r="J2" s="189">
        <v>2006</v>
      </c>
      <c r="K2" s="189">
        <v>2007</v>
      </c>
      <c r="L2" s="189">
        <v>2008</v>
      </c>
      <c r="M2" s="189">
        <v>2009</v>
      </c>
      <c r="N2" s="189">
        <v>2010</v>
      </c>
      <c r="O2" s="190">
        <v>2011</v>
      </c>
      <c r="P2" s="190">
        <v>2012</v>
      </c>
      <c r="Q2" s="190">
        <v>2013</v>
      </c>
      <c r="R2" s="190">
        <v>2014</v>
      </c>
      <c r="S2" s="190">
        <v>2015</v>
      </c>
    </row>
    <row r="3" spans="1:19" s="151" customFormat="1" hidden="1">
      <c r="A3" s="151" t="s">
        <v>580</v>
      </c>
      <c r="B3" s="151">
        <v>293</v>
      </c>
      <c r="C3" s="151">
        <v>315.64999999999998</v>
      </c>
      <c r="D3" s="151">
        <v>318.07</v>
      </c>
      <c r="E3" s="151">
        <v>323.23</v>
      </c>
      <c r="F3" s="151">
        <v>328.78</v>
      </c>
      <c r="G3" s="151">
        <v>346.63</v>
      </c>
      <c r="H3" s="151">
        <v>378.53</v>
      </c>
      <c r="I3" s="151">
        <v>428.08</v>
      </c>
      <c r="J3" s="151">
        <v>486.06</v>
      </c>
      <c r="K3" s="151">
        <v>608.38</v>
      </c>
      <c r="L3" s="190">
        <v>786.36</v>
      </c>
      <c r="M3" s="190">
        <v>832.62</v>
      </c>
      <c r="N3" s="190">
        <v>221.5</v>
      </c>
      <c r="O3" s="190">
        <v>222.53</v>
      </c>
      <c r="P3" s="190">
        <v>243.83</v>
      </c>
      <c r="Q3" s="190">
        <v>246.43</v>
      </c>
      <c r="R3" s="191">
        <v>249.42</v>
      </c>
      <c r="S3" s="151">
        <v>254.33</v>
      </c>
    </row>
    <row r="4" spans="1:19" s="151" customFormat="1" hidden="1">
      <c r="A4" s="151" t="s">
        <v>581</v>
      </c>
      <c r="D4" s="151">
        <v>970.8</v>
      </c>
      <c r="E4" s="151">
        <v>982.3</v>
      </c>
      <c r="F4" s="151">
        <v>1014</v>
      </c>
      <c r="G4" s="151">
        <v>1072.5999999999999</v>
      </c>
      <c r="H4" s="151">
        <v>1149.3</v>
      </c>
      <c r="I4" s="151">
        <v>1276.2</v>
      </c>
      <c r="J4" s="190">
        <v>1495.7</v>
      </c>
      <c r="K4" s="190">
        <v>1802.4</v>
      </c>
      <c r="L4" s="190">
        <v>2152</v>
      </c>
      <c r="M4" s="190">
        <v>2056</v>
      </c>
      <c r="N4" s="190">
        <v>575.79999999999995</v>
      </c>
      <c r="O4" s="190">
        <v>592.5</v>
      </c>
      <c r="P4" s="192">
        <v>615.1</v>
      </c>
      <c r="Q4" s="190">
        <v>646.29999999999995</v>
      </c>
      <c r="R4" s="190">
        <v>677.4</v>
      </c>
      <c r="S4" s="151">
        <v>712.1</v>
      </c>
    </row>
    <row r="5" spans="1:19" s="151" customFormat="1" hidden="1">
      <c r="A5" s="151" t="s">
        <v>275</v>
      </c>
      <c r="D5" s="151">
        <f t="shared" ref="D5:S5" si="0">D3/D4*100</f>
        <v>32.76370004120313</v>
      </c>
      <c r="E5" s="151">
        <f t="shared" si="0"/>
        <v>32.905426040924361</v>
      </c>
      <c r="F5" s="151">
        <f t="shared" si="0"/>
        <v>32.424063116370803</v>
      </c>
      <c r="G5" s="151">
        <f t="shared" si="0"/>
        <v>32.316800298340482</v>
      </c>
      <c r="H5" s="193">
        <f t="shared" si="0"/>
        <v>32.935699991299053</v>
      </c>
      <c r="I5" s="193">
        <f t="shared" si="0"/>
        <v>33.543331766180842</v>
      </c>
      <c r="J5" s="193">
        <f t="shared" si="0"/>
        <v>32.497158521093802</v>
      </c>
      <c r="K5" s="193">
        <f t="shared" si="0"/>
        <v>33.753883710608072</v>
      </c>
      <c r="L5" s="193">
        <f t="shared" si="0"/>
        <v>36.540892193308551</v>
      </c>
      <c r="M5" s="193">
        <f t="shared" si="0"/>
        <v>40.497081712062254</v>
      </c>
      <c r="N5" s="193">
        <f t="shared" si="0"/>
        <v>38.468218131295586</v>
      </c>
      <c r="O5" s="193">
        <f t="shared" si="0"/>
        <v>37.557805907172998</v>
      </c>
      <c r="P5" s="193">
        <f t="shared" si="0"/>
        <v>39.640708827832874</v>
      </c>
      <c r="Q5" s="193">
        <f t="shared" si="0"/>
        <v>38.129351694259633</v>
      </c>
      <c r="R5" s="193">
        <f t="shared" si="0"/>
        <v>36.820194862710366</v>
      </c>
      <c r="S5" s="193">
        <f t="shared" si="0"/>
        <v>35.715489397556524</v>
      </c>
    </row>
    <row r="6" spans="1:19" s="151" customFormat="1" hidden="1">
      <c r="J6" s="190"/>
      <c r="K6" s="190"/>
      <c r="L6" s="190"/>
      <c r="M6" s="190"/>
      <c r="N6" s="190"/>
      <c r="O6" s="190"/>
      <c r="P6" s="190"/>
      <c r="Q6" s="190"/>
    </row>
    <row r="7" spans="1:19" s="151" customFormat="1">
      <c r="J7" s="190"/>
      <c r="K7" s="190"/>
      <c r="L7" s="190"/>
      <c r="M7" s="190"/>
      <c r="N7" s="190"/>
      <c r="O7" s="190"/>
      <c r="P7" s="190"/>
      <c r="Q7" s="190"/>
    </row>
    <row r="8" spans="1:19" s="151" customFormat="1">
      <c r="J8" s="190"/>
      <c r="K8" s="190"/>
      <c r="L8" s="190"/>
      <c r="M8" s="190"/>
      <c r="N8" s="190"/>
      <c r="O8" s="190"/>
      <c r="P8" s="190"/>
      <c r="Q8" s="190"/>
    </row>
    <row r="9" spans="1:19" s="151" customFormat="1">
      <c r="J9" s="190"/>
      <c r="K9" s="190"/>
      <c r="L9" s="190"/>
      <c r="M9" s="190"/>
      <c r="N9" s="190"/>
      <c r="O9" s="190"/>
      <c r="P9" s="190"/>
      <c r="Q9" s="190"/>
    </row>
    <row r="10" spans="1:19" s="151" customFormat="1" ht="108" customHeight="1">
      <c r="B10" s="190"/>
      <c r="C10" s="190"/>
      <c r="D10" s="190"/>
      <c r="E10" s="190"/>
      <c r="F10" s="190"/>
      <c r="G10" s="190"/>
      <c r="H10" s="190"/>
      <c r="I10" s="190"/>
    </row>
    <row r="11" spans="1:19" s="151" customFormat="1" ht="64.900000000000006" customHeight="1">
      <c r="B11" s="190"/>
      <c r="C11" s="190"/>
      <c r="D11" s="190"/>
      <c r="E11" s="190"/>
      <c r="F11" s="190"/>
      <c r="G11" s="190"/>
      <c r="H11" s="190"/>
      <c r="I11" s="190"/>
    </row>
    <row r="12" spans="1:19" s="151" customFormat="1" ht="15">
      <c r="A12"/>
      <c r="B12" s="190"/>
      <c r="C12" s="190"/>
      <c r="D12" s="190"/>
      <c r="E12" s="190"/>
      <c r="F12" s="190"/>
      <c r="G12" s="190"/>
      <c r="H12" s="190"/>
      <c r="I12" s="190"/>
    </row>
    <row r="13" spans="1:19" s="151" customFormat="1" ht="18.95" customHeight="1">
      <c r="B13" s="190"/>
      <c r="C13" s="190"/>
      <c r="D13" s="190"/>
      <c r="E13" s="190"/>
      <c r="F13" s="190"/>
      <c r="G13" s="190"/>
      <c r="H13" s="190"/>
      <c r="I13" s="190"/>
    </row>
    <row r="14" spans="1:19" s="151" customFormat="1" ht="18.95" customHeight="1">
      <c r="B14" s="190"/>
      <c r="C14" s="190"/>
      <c r="D14" s="190"/>
      <c r="E14" s="190"/>
      <c r="F14" s="190"/>
      <c r="G14" s="190"/>
      <c r="H14" s="190"/>
      <c r="I14" s="190"/>
    </row>
    <row r="15" spans="1:19" s="151" customFormat="1" ht="18.95" customHeight="1">
      <c r="B15" s="190"/>
      <c r="C15" s="190"/>
      <c r="D15" s="190"/>
      <c r="E15" s="190"/>
      <c r="F15" s="190"/>
      <c r="G15" s="190"/>
      <c r="H15" s="190"/>
      <c r="I15" s="190"/>
    </row>
    <row r="16" spans="1:19" s="151" customFormat="1" ht="18.95" customHeight="1">
      <c r="B16" s="190"/>
      <c r="C16" s="190"/>
      <c r="D16" s="190"/>
      <c r="E16" s="190"/>
      <c r="F16" s="190"/>
      <c r="G16" s="190"/>
      <c r="H16" s="190"/>
      <c r="I16" s="190"/>
    </row>
    <row r="17" spans="2:9" s="151" customFormat="1" ht="18.95" customHeight="1">
      <c r="B17" s="190"/>
      <c r="C17" s="190"/>
      <c r="D17" s="190"/>
      <c r="E17" s="190"/>
      <c r="F17" s="190"/>
      <c r="G17" s="190"/>
      <c r="H17" s="190"/>
      <c r="I17" s="190"/>
    </row>
    <row r="18" spans="2:9" s="151" customFormat="1" ht="18.95" customHeight="1">
      <c r="B18" s="190"/>
      <c r="C18" s="190"/>
      <c r="D18" s="190"/>
      <c r="E18" s="190"/>
      <c r="F18" s="190"/>
      <c r="G18" s="190"/>
      <c r="H18" s="190"/>
      <c r="I18" s="190"/>
    </row>
    <row r="19" spans="2:9" s="151" customFormat="1" ht="18.95" customHeight="1">
      <c r="B19" s="190"/>
      <c r="C19" s="190"/>
      <c r="D19" s="190"/>
      <c r="E19" s="190"/>
      <c r="F19" s="190"/>
      <c r="G19" s="190"/>
      <c r="H19" s="190"/>
      <c r="I19" s="190"/>
    </row>
    <row r="20" spans="2:9" s="151" customFormat="1" ht="18.95" customHeight="1">
      <c r="B20" s="190"/>
      <c r="C20" s="190"/>
      <c r="D20" s="190"/>
      <c r="E20" s="190"/>
      <c r="F20" s="190"/>
      <c r="G20" s="190"/>
      <c r="H20" s="190"/>
      <c r="I20" s="190"/>
    </row>
    <row r="21" spans="2:9" s="151" customFormat="1" ht="18.95" customHeight="1">
      <c r="B21" s="190"/>
      <c r="C21" s="190"/>
      <c r="D21" s="190"/>
      <c r="E21" s="190"/>
      <c r="F21" s="190"/>
      <c r="G21" s="190"/>
      <c r="H21" s="190"/>
      <c r="I21" s="190"/>
    </row>
    <row r="22" spans="2:9" s="151" customFormat="1" ht="18.95" customHeight="1">
      <c r="B22" s="190"/>
      <c r="C22" s="190"/>
      <c r="D22" s="190"/>
      <c r="E22" s="190"/>
      <c r="F22" s="190"/>
      <c r="G22" s="190"/>
      <c r="H22" s="190"/>
      <c r="I22" s="190"/>
    </row>
    <row r="23" spans="2:9" s="151" customFormat="1" ht="18.95" customHeight="1">
      <c r="B23" s="190"/>
      <c r="C23" s="190"/>
      <c r="D23" s="190"/>
      <c r="E23" s="190"/>
      <c r="F23" s="190"/>
      <c r="G23" s="190"/>
      <c r="H23" s="190"/>
      <c r="I23" s="190"/>
    </row>
  </sheetData>
  <hyperlinks>
    <hyperlink ref="A1" location="turinys!A1" display="Grįžti į turinį"/>
  </hyperlinks>
  <pageMargins left="0.75" right="0.24" top="1" bottom="0.67" header="0.5" footer="0.5"/>
  <pageSetup paperSize="9" orientation="portrait" horizontalDpi="4294967292" r:id="rId1"/>
  <headerFooter alignWithMargins="0">
    <oddHeader>&amp;A</oddHead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O13"/>
  <sheetViews>
    <sheetView zoomScale="90" zoomScaleNormal="90" workbookViewId="0">
      <selection activeCell="O4" sqref="O4"/>
    </sheetView>
  </sheetViews>
  <sheetFormatPr defaultRowHeight="12.75"/>
  <cols>
    <col min="1" max="1" width="8.7109375" style="21" customWidth="1"/>
    <col min="2" max="2" width="10.28515625" style="385" customWidth="1"/>
    <col min="3" max="3" width="10.28515625" style="21" customWidth="1"/>
    <col min="4" max="4" width="8.7109375" style="21" customWidth="1"/>
    <col min="5" max="6" width="9.28515625" style="21" bestFit="1" customWidth="1"/>
    <col min="7" max="7" width="8.7109375" style="21" customWidth="1"/>
    <col min="8" max="8" width="10.5703125" style="21" customWidth="1"/>
    <col min="9" max="9" width="8.7109375" style="21" customWidth="1"/>
    <col min="10" max="10" width="10.28515625" style="21" customWidth="1"/>
    <col min="11" max="11" width="8.7109375" style="21" customWidth="1"/>
    <col min="12" max="12" width="6.28515625" style="21" customWidth="1"/>
    <col min="13" max="13" width="7.85546875" style="21" customWidth="1"/>
    <col min="14" max="14" width="7.140625" style="21" customWidth="1"/>
    <col min="15" max="16384" width="9.140625" style="21"/>
  </cols>
  <sheetData>
    <row r="1" spans="1:15" s="27" customFormat="1" ht="16.5" customHeight="1">
      <c r="A1" s="23" t="s">
        <v>225</v>
      </c>
    </row>
    <row r="2" spans="1:15" s="150" customFormat="1" ht="36" customHeight="1">
      <c r="A2" s="703" t="s">
        <v>615</v>
      </c>
      <c r="B2" s="703"/>
      <c r="C2" s="703"/>
      <c r="D2" s="703"/>
      <c r="E2" s="703"/>
      <c r="F2" s="703"/>
      <c r="G2" s="703"/>
      <c r="H2" s="703"/>
      <c r="I2" s="703"/>
      <c r="J2" s="703"/>
      <c r="K2" s="703"/>
      <c r="L2" s="302"/>
      <c r="M2" s="302"/>
      <c r="N2" s="302"/>
      <c r="O2" s="302"/>
    </row>
    <row r="3" spans="1:15" s="380" customFormat="1" ht="15">
      <c r="A3" s="700" t="s">
        <v>276</v>
      </c>
      <c r="B3" s="702" t="s">
        <v>277</v>
      </c>
      <c r="C3" s="702"/>
      <c r="D3" s="702"/>
      <c r="E3" s="702" t="s">
        <v>278</v>
      </c>
      <c r="F3" s="702"/>
      <c r="G3" s="702"/>
      <c r="H3" s="702" t="s">
        <v>56</v>
      </c>
      <c r="I3" s="702"/>
      <c r="J3" s="702"/>
      <c r="K3" s="702"/>
    </row>
    <row r="4" spans="1:15" s="380" customFormat="1" ht="85.5" customHeight="1">
      <c r="A4" s="701"/>
      <c r="B4" s="47" t="s">
        <v>56</v>
      </c>
      <c r="C4" s="48" t="s">
        <v>279</v>
      </c>
      <c r="D4" s="48" t="s">
        <v>280</v>
      </c>
      <c r="E4" s="47" t="s">
        <v>56</v>
      </c>
      <c r="F4" s="48" t="s">
        <v>281</v>
      </c>
      <c r="G4" s="48" t="s">
        <v>282</v>
      </c>
      <c r="H4" s="47" t="s">
        <v>56</v>
      </c>
      <c r="I4" s="48" t="s">
        <v>283</v>
      </c>
      <c r="J4" s="48" t="s">
        <v>279</v>
      </c>
      <c r="K4" s="48" t="s">
        <v>280</v>
      </c>
    </row>
    <row r="5" spans="1:15" s="380" customFormat="1" ht="21.75" customHeight="1">
      <c r="A5" s="37" t="s">
        <v>268</v>
      </c>
      <c r="B5" s="38">
        <v>23505</v>
      </c>
      <c r="C5" s="38">
        <f t="shared" ref="C5:C12" si="0">B5-D5</f>
        <v>19471</v>
      </c>
      <c r="D5" s="38">
        <v>4034</v>
      </c>
      <c r="E5" s="38">
        <v>64637</v>
      </c>
      <c r="F5" s="38">
        <f t="shared" ref="F5:F12" si="1">E5-G5</f>
        <v>53176</v>
      </c>
      <c r="G5" s="38">
        <v>11461</v>
      </c>
      <c r="H5" s="39">
        <f>B5+E5</f>
        <v>88142</v>
      </c>
      <c r="I5" s="40">
        <f>ROUND(H5/$H$13*100,2)</f>
        <v>14.76</v>
      </c>
      <c r="J5" s="39">
        <f>C5+F5</f>
        <v>72647</v>
      </c>
      <c r="K5" s="39">
        <f t="shared" ref="J5:K12" si="2">D5+G5</f>
        <v>15495</v>
      </c>
    </row>
    <row r="6" spans="1:15" s="380" customFormat="1" ht="21.75" customHeight="1">
      <c r="A6" s="37" t="s">
        <v>269</v>
      </c>
      <c r="B6" s="38">
        <v>53505</v>
      </c>
      <c r="C6" s="38">
        <f t="shared" si="0"/>
        <v>45888</v>
      </c>
      <c r="D6" s="38">
        <v>7617</v>
      </c>
      <c r="E6" s="38">
        <v>80585</v>
      </c>
      <c r="F6" s="38">
        <f t="shared" si="1"/>
        <v>67365</v>
      </c>
      <c r="G6" s="38">
        <v>13220</v>
      </c>
      <c r="H6" s="39">
        <f t="shared" ref="H6:H12" si="3">B6+E6</f>
        <v>134090</v>
      </c>
      <c r="I6" s="40">
        <f t="shared" ref="I6:I12" si="4">ROUND(H6/$H$13*100,2)</f>
        <v>22.46</v>
      </c>
      <c r="J6" s="39">
        <f t="shared" si="2"/>
        <v>113253</v>
      </c>
      <c r="K6" s="39">
        <f t="shared" si="2"/>
        <v>20837</v>
      </c>
    </row>
    <row r="7" spans="1:15" s="380" customFormat="1" ht="21.75" customHeight="1">
      <c r="A7" s="37" t="s">
        <v>270</v>
      </c>
      <c r="B7" s="38">
        <v>43340</v>
      </c>
      <c r="C7" s="38">
        <f t="shared" si="0"/>
        <v>39938</v>
      </c>
      <c r="D7" s="38">
        <v>3402</v>
      </c>
      <c r="E7" s="38">
        <v>77426</v>
      </c>
      <c r="F7" s="38">
        <f t="shared" si="1"/>
        <v>70851</v>
      </c>
      <c r="G7" s="38">
        <v>6575</v>
      </c>
      <c r="H7" s="39">
        <f t="shared" si="3"/>
        <v>120766</v>
      </c>
      <c r="I7" s="40">
        <f t="shared" si="4"/>
        <v>20.23</v>
      </c>
      <c r="J7" s="39">
        <f t="shared" si="2"/>
        <v>110789</v>
      </c>
      <c r="K7" s="39">
        <f t="shared" si="2"/>
        <v>9977</v>
      </c>
    </row>
    <row r="8" spans="1:15" s="380" customFormat="1" ht="21.75" customHeight="1">
      <c r="A8" s="37" t="s">
        <v>271</v>
      </c>
      <c r="B8" s="38">
        <v>35491</v>
      </c>
      <c r="C8" s="38">
        <f t="shared" si="0"/>
        <v>33967</v>
      </c>
      <c r="D8" s="38">
        <v>1524</v>
      </c>
      <c r="E8" s="38">
        <v>75696</v>
      </c>
      <c r="F8" s="38">
        <f t="shared" si="1"/>
        <v>73328</v>
      </c>
      <c r="G8" s="38">
        <v>2368</v>
      </c>
      <c r="H8" s="39">
        <f t="shared" si="3"/>
        <v>111187</v>
      </c>
      <c r="I8" s="40">
        <f t="shared" si="4"/>
        <v>18.62</v>
      </c>
      <c r="J8" s="39">
        <f>C8+F8</f>
        <v>107295</v>
      </c>
      <c r="K8" s="39">
        <f t="shared" si="2"/>
        <v>3892</v>
      </c>
    </row>
    <row r="9" spans="1:15" s="380" customFormat="1" ht="21.75" customHeight="1">
      <c r="A9" s="37" t="s">
        <v>272</v>
      </c>
      <c r="B9" s="38">
        <v>23092</v>
      </c>
      <c r="C9" s="38">
        <f t="shared" si="0"/>
        <v>22628</v>
      </c>
      <c r="D9" s="38">
        <v>464</v>
      </c>
      <c r="E9" s="38">
        <v>57662</v>
      </c>
      <c r="F9" s="38">
        <f t="shared" si="1"/>
        <v>56185</v>
      </c>
      <c r="G9" s="38">
        <v>1477</v>
      </c>
      <c r="H9" s="39">
        <f t="shared" si="3"/>
        <v>80754</v>
      </c>
      <c r="I9" s="40">
        <f t="shared" si="4"/>
        <v>13.53</v>
      </c>
      <c r="J9" s="39">
        <f t="shared" si="2"/>
        <v>78813</v>
      </c>
      <c r="K9" s="39">
        <f t="shared" si="2"/>
        <v>1941</v>
      </c>
    </row>
    <row r="10" spans="1:15" s="380" customFormat="1" ht="21.75" customHeight="1">
      <c r="A10" s="37" t="s">
        <v>273</v>
      </c>
      <c r="B10" s="38">
        <v>11728</v>
      </c>
      <c r="C10" s="38">
        <f t="shared" si="0"/>
        <v>11451</v>
      </c>
      <c r="D10" s="38">
        <v>277</v>
      </c>
      <c r="E10" s="38">
        <v>33647</v>
      </c>
      <c r="F10" s="38">
        <f t="shared" si="1"/>
        <v>32626</v>
      </c>
      <c r="G10" s="38">
        <v>1021</v>
      </c>
      <c r="H10" s="39">
        <f t="shared" si="3"/>
        <v>45375</v>
      </c>
      <c r="I10" s="40">
        <f t="shared" si="4"/>
        <v>7.6</v>
      </c>
      <c r="J10" s="39">
        <f t="shared" si="2"/>
        <v>44077</v>
      </c>
      <c r="K10" s="39">
        <f t="shared" si="2"/>
        <v>1298</v>
      </c>
    </row>
    <row r="11" spans="1:15" s="380" customFormat="1" ht="21.75" customHeight="1">
      <c r="A11" s="37" t="s">
        <v>284</v>
      </c>
      <c r="B11" s="38">
        <v>2954</v>
      </c>
      <c r="C11" s="38">
        <f t="shared" si="0"/>
        <v>2846</v>
      </c>
      <c r="D11" s="38">
        <v>108</v>
      </c>
      <c r="E11" s="38">
        <v>11578</v>
      </c>
      <c r="F11" s="38">
        <f t="shared" si="1"/>
        <v>11153</v>
      </c>
      <c r="G11" s="38">
        <v>425</v>
      </c>
      <c r="H11" s="39">
        <f t="shared" si="3"/>
        <v>14532</v>
      </c>
      <c r="I11" s="40">
        <f t="shared" si="4"/>
        <v>2.4300000000000002</v>
      </c>
      <c r="J11" s="39">
        <f t="shared" si="2"/>
        <v>13999</v>
      </c>
      <c r="K11" s="39">
        <f t="shared" si="2"/>
        <v>533</v>
      </c>
    </row>
    <row r="12" spans="1:15" s="380" customFormat="1" ht="21.75" customHeight="1">
      <c r="A12" s="37" t="s">
        <v>285</v>
      </c>
      <c r="B12" s="38">
        <v>428</v>
      </c>
      <c r="C12" s="38">
        <f t="shared" si="0"/>
        <v>415</v>
      </c>
      <c r="D12" s="38">
        <v>13</v>
      </c>
      <c r="E12" s="38">
        <v>1770</v>
      </c>
      <c r="F12" s="38">
        <f t="shared" si="1"/>
        <v>1701</v>
      </c>
      <c r="G12" s="38">
        <v>69</v>
      </c>
      <c r="H12" s="39">
        <f t="shared" si="3"/>
        <v>2198</v>
      </c>
      <c r="I12" s="40">
        <f t="shared" si="4"/>
        <v>0.37</v>
      </c>
      <c r="J12" s="39">
        <f t="shared" si="2"/>
        <v>2116</v>
      </c>
      <c r="K12" s="39">
        <f t="shared" si="2"/>
        <v>82</v>
      </c>
    </row>
    <row r="13" spans="1:15" s="380" customFormat="1" ht="21.75" customHeight="1">
      <c r="A13" s="41" t="s">
        <v>56</v>
      </c>
      <c r="B13" s="42">
        <f t="shared" ref="B13:K13" si="5">SUM(B5:B12)</f>
        <v>194043</v>
      </c>
      <c r="C13" s="42">
        <f t="shared" si="5"/>
        <v>176604</v>
      </c>
      <c r="D13" s="42">
        <f t="shared" si="5"/>
        <v>17439</v>
      </c>
      <c r="E13" s="42">
        <f t="shared" si="5"/>
        <v>403001</v>
      </c>
      <c r="F13" s="42">
        <f t="shared" si="5"/>
        <v>366385</v>
      </c>
      <c r="G13" s="42">
        <f t="shared" si="5"/>
        <v>36616</v>
      </c>
      <c r="H13" s="42">
        <f t="shared" si="5"/>
        <v>597044</v>
      </c>
      <c r="I13" s="43">
        <f t="shared" si="5"/>
        <v>100.00000000000001</v>
      </c>
      <c r="J13" s="42">
        <f t="shared" si="5"/>
        <v>542989</v>
      </c>
      <c r="K13" s="42">
        <f t="shared" si="5"/>
        <v>54055</v>
      </c>
    </row>
  </sheetData>
  <mergeCells count="5">
    <mergeCell ref="A3:A4"/>
    <mergeCell ref="B3:D3"/>
    <mergeCell ref="E3:G3"/>
    <mergeCell ref="H3:K3"/>
    <mergeCell ref="A2:K2"/>
  </mergeCells>
  <hyperlinks>
    <hyperlink ref="A1" location="turinys!A1" display="Grįžti į turinį"/>
  </hyperlinks>
  <printOptions horizontalCentered="1"/>
  <pageMargins left="0.35433070866141736" right="0.23622047244094491" top="0.55118110236220474" bottom="0.23622047244094491" header="0.27559055118110237" footer="0.23622047244094491"/>
  <pageSetup paperSize="9" scale="90" orientation="portrait" horizontalDpi="4294967292" r:id="rId1"/>
  <headerFooter alignWithMargins="0">
    <oddHeader>&amp;A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"/>
  <sheetViews>
    <sheetView zoomScale="96" zoomScaleNormal="96" workbookViewId="0">
      <selection activeCell="A2" sqref="A2:N2"/>
    </sheetView>
  </sheetViews>
  <sheetFormatPr defaultRowHeight="12.75"/>
  <cols>
    <col min="1" max="1" width="8.7109375" style="21" customWidth="1"/>
    <col min="2" max="2" width="10.28515625" style="385" customWidth="1"/>
    <col min="3" max="3" width="10.28515625" style="21" customWidth="1"/>
    <col min="4" max="4" width="8.7109375" style="21" customWidth="1"/>
    <col min="5" max="6" width="9.28515625" style="21" bestFit="1" customWidth="1"/>
    <col min="7" max="7" width="8.7109375" style="21" customWidth="1"/>
    <col min="8" max="8" width="10.5703125" style="21" customWidth="1"/>
    <col min="9" max="9" width="8.7109375" style="21" customWidth="1"/>
    <col min="10" max="10" width="10.28515625" style="21" customWidth="1"/>
    <col min="11" max="12" width="8.7109375" style="21" customWidth="1"/>
    <col min="13" max="13" width="10" style="21" customWidth="1"/>
    <col min="14" max="14" width="7.140625" style="21" customWidth="1"/>
    <col min="15" max="16384" width="9.140625" style="21"/>
  </cols>
  <sheetData>
    <row r="1" spans="1:31" s="27" customFormat="1" ht="16.5" customHeight="1">
      <c r="A1" s="23" t="s">
        <v>225</v>
      </c>
    </row>
    <row r="2" spans="1:31" s="196" customFormat="1" ht="36" customHeight="1">
      <c r="A2" s="704" t="s">
        <v>585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44"/>
      <c r="P2" s="45"/>
      <c r="Q2" s="45"/>
      <c r="R2" s="45"/>
      <c r="S2" s="45"/>
      <c r="T2" s="45"/>
      <c r="U2" s="45"/>
      <c r="V2" s="45"/>
      <c r="W2" s="46"/>
      <c r="X2" s="45"/>
      <c r="Y2" s="45"/>
      <c r="Z2" s="45"/>
      <c r="AA2" s="45"/>
      <c r="AB2" s="45"/>
      <c r="AC2" s="384"/>
      <c r="AD2" s="384"/>
      <c r="AE2" s="384"/>
    </row>
    <row r="3" spans="1:31" s="196" customFormat="1" ht="15">
      <c r="A3" s="705" t="s">
        <v>276</v>
      </c>
      <c r="B3" s="707" t="s">
        <v>277</v>
      </c>
      <c r="C3" s="708"/>
      <c r="D3" s="709"/>
      <c r="E3" s="707" t="s">
        <v>278</v>
      </c>
      <c r="F3" s="708"/>
      <c r="G3" s="709"/>
      <c r="H3" s="707" t="s">
        <v>56</v>
      </c>
      <c r="I3" s="708"/>
      <c r="J3" s="708"/>
      <c r="K3" s="708"/>
      <c r="L3" s="708"/>
      <c r="M3" s="708"/>
      <c r="N3" s="709"/>
    </row>
    <row r="4" spans="1:31" s="196" customFormat="1" ht="119.25" customHeight="1">
      <c r="A4" s="706"/>
      <c r="B4" s="393" t="s">
        <v>56</v>
      </c>
      <c r="C4" s="394" t="s">
        <v>279</v>
      </c>
      <c r="D4" s="394" t="s">
        <v>280</v>
      </c>
      <c r="E4" s="393" t="s">
        <v>56</v>
      </c>
      <c r="F4" s="394" t="s">
        <v>281</v>
      </c>
      <c r="G4" s="394" t="s">
        <v>282</v>
      </c>
      <c r="H4" s="47" t="s">
        <v>56</v>
      </c>
      <c r="I4" s="48" t="s">
        <v>286</v>
      </c>
      <c r="J4" s="47" t="s">
        <v>287</v>
      </c>
      <c r="K4" s="47" t="s">
        <v>288</v>
      </c>
      <c r="L4" s="47" t="s">
        <v>289</v>
      </c>
      <c r="M4" s="394" t="s">
        <v>279</v>
      </c>
      <c r="N4" s="394" t="s">
        <v>280</v>
      </c>
    </row>
    <row r="5" spans="1:31" s="196" customFormat="1" ht="18.75" customHeight="1">
      <c r="A5" s="49" t="s">
        <v>290</v>
      </c>
      <c r="B5" s="50">
        <v>1323</v>
      </c>
      <c r="C5" s="50">
        <f t="shared" ref="C5:C12" si="0">B5-D5</f>
        <v>1170</v>
      </c>
      <c r="D5" s="50">
        <v>153</v>
      </c>
      <c r="E5" s="50">
        <v>877</v>
      </c>
      <c r="F5" s="50">
        <f t="shared" ref="F5:F13" si="1">E5-G5</f>
        <v>794</v>
      </c>
      <c r="G5" s="50">
        <v>83</v>
      </c>
      <c r="H5" s="50">
        <f>B5+E5</f>
        <v>2200</v>
      </c>
      <c r="I5" s="51">
        <f>ROUND(H5/$H$14*100,2)</f>
        <v>1.51</v>
      </c>
      <c r="J5" s="50">
        <v>160</v>
      </c>
      <c r="K5" s="50">
        <v>857</v>
      </c>
      <c r="L5" s="50">
        <f>H5-K5-J5</f>
        <v>1183</v>
      </c>
      <c r="M5" s="50">
        <f>C5+F5</f>
        <v>1964</v>
      </c>
      <c r="N5" s="50">
        <f t="shared" ref="N5:N11" si="2">D5+G5</f>
        <v>236</v>
      </c>
    </row>
    <row r="6" spans="1:31" s="196" customFormat="1" ht="18.75" customHeight="1">
      <c r="A6" s="49" t="s">
        <v>291</v>
      </c>
      <c r="B6" s="50">
        <v>1852</v>
      </c>
      <c r="C6" s="50">
        <f t="shared" si="0"/>
        <v>1646</v>
      </c>
      <c r="D6" s="50">
        <v>206</v>
      </c>
      <c r="E6" s="50">
        <v>1354</v>
      </c>
      <c r="F6" s="50">
        <f t="shared" si="1"/>
        <v>1256</v>
      </c>
      <c r="G6" s="50">
        <v>98</v>
      </c>
      <c r="H6" s="50">
        <f t="shared" ref="H6:H12" si="3">B6+E6</f>
        <v>3206</v>
      </c>
      <c r="I6" s="51">
        <f t="shared" ref="I6:I13" si="4">ROUND(H6/$H$14*100,2)</f>
        <v>2.21</v>
      </c>
      <c r="J6" s="50">
        <v>296</v>
      </c>
      <c r="K6" s="52">
        <v>1331</v>
      </c>
      <c r="L6" s="50">
        <f t="shared" ref="L6:L13" si="5">H6-K6-J6</f>
        <v>1579</v>
      </c>
      <c r="M6" s="50">
        <f t="shared" ref="M6:N12" si="6">C6+F6</f>
        <v>2902</v>
      </c>
      <c r="N6" s="50">
        <f t="shared" si="2"/>
        <v>304</v>
      </c>
    </row>
    <row r="7" spans="1:31" s="196" customFormat="1" ht="18.75" customHeight="1">
      <c r="A7" s="49" t="s">
        <v>292</v>
      </c>
      <c r="B7" s="50">
        <v>2792</v>
      </c>
      <c r="C7" s="50">
        <f t="shared" si="0"/>
        <v>2454</v>
      </c>
      <c r="D7" s="50">
        <v>338</v>
      </c>
      <c r="E7" s="50">
        <v>2515</v>
      </c>
      <c r="F7" s="50">
        <f t="shared" si="1"/>
        <v>2331</v>
      </c>
      <c r="G7" s="50">
        <v>184</v>
      </c>
      <c r="H7" s="50">
        <f t="shared" si="3"/>
        <v>5307</v>
      </c>
      <c r="I7" s="51">
        <f t="shared" si="4"/>
        <v>3.65</v>
      </c>
      <c r="J7" s="50">
        <v>549</v>
      </c>
      <c r="K7" s="50">
        <v>2182</v>
      </c>
      <c r="L7" s="50">
        <f t="shared" si="5"/>
        <v>2576</v>
      </c>
      <c r="M7" s="50">
        <f t="shared" si="6"/>
        <v>4785</v>
      </c>
      <c r="N7" s="50">
        <f t="shared" si="2"/>
        <v>522</v>
      </c>
    </row>
    <row r="8" spans="1:31" s="196" customFormat="1" ht="18.75" customHeight="1">
      <c r="A8" s="49" t="s">
        <v>293</v>
      </c>
      <c r="B8" s="50">
        <v>4517</v>
      </c>
      <c r="C8" s="50">
        <f t="shared" si="0"/>
        <v>3871</v>
      </c>
      <c r="D8" s="50">
        <v>646</v>
      </c>
      <c r="E8" s="50">
        <v>4561</v>
      </c>
      <c r="F8" s="50">
        <f t="shared" si="1"/>
        <v>4102</v>
      </c>
      <c r="G8" s="50">
        <v>459</v>
      </c>
      <c r="H8" s="50">
        <f t="shared" si="3"/>
        <v>9078</v>
      </c>
      <c r="I8" s="51">
        <f t="shared" si="4"/>
        <v>6.24</v>
      </c>
      <c r="J8" s="50">
        <v>910</v>
      </c>
      <c r="K8" s="50">
        <v>3740</v>
      </c>
      <c r="L8" s="50">
        <f t="shared" si="5"/>
        <v>4428</v>
      </c>
      <c r="M8" s="50">
        <f t="shared" si="6"/>
        <v>7973</v>
      </c>
      <c r="N8" s="50">
        <f t="shared" si="2"/>
        <v>1105</v>
      </c>
    </row>
    <row r="9" spans="1:31" s="196" customFormat="1" ht="18.75" customHeight="1">
      <c r="A9" s="49" t="s">
        <v>294</v>
      </c>
      <c r="B9" s="50">
        <v>7623</v>
      </c>
      <c r="C9" s="50">
        <f t="shared" si="0"/>
        <v>6382</v>
      </c>
      <c r="D9" s="50">
        <v>1241</v>
      </c>
      <c r="E9" s="50">
        <v>7853</v>
      </c>
      <c r="F9" s="50">
        <f t="shared" si="1"/>
        <v>6918</v>
      </c>
      <c r="G9" s="50">
        <v>935</v>
      </c>
      <c r="H9" s="50">
        <f t="shared" si="3"/>
        <v>15476</v>
      </c>
      <c r="I9" s="51">
        <f t="shared" si="4"/>
        <v>10.64</v>
      </c>
      <c r="J9" s="50">
        <v>1450</v>
      </c>
      <c r="K9" s="50">
        <v>6501</v>
      </c>
      <c r="L9" s="50">
        <f t="shared" si="5"/>
        <v>7525</v>
      </c>
      <c r="M9" s="50">
        <f t="shared" si="6"/>
        <v>13300</v>
      </c>
      <c r="N9" s="50">
        <f t="shared" si="2"/>
        <v>2176</v>
      </c>
    </row>
    <row r="10" spans="1:31" s="196" customFormat="1" ht="18.75" customHeight="1">
      <c r="A10" s="49" t="s">
        <v>295</v>
      </c>
      <c r="B10" s="50">
        <v>12679</v>
      </c>
      <c r="C10" s="50">
        <f t="shared" si="0"/>
        <v>10615</v>
      </c>
      <c r="D10" s="50">
        <v>2064</v>
      </c>
      <c r="E10" s="50">
        <v>13849</v>
      </c>
      <c r="F10" s="50">
        <f t="shared" si="1"/>
        <v>12007</v>
      </c>
      <c r="G10" s="50">
        <v>1842</v>
      </c>
      <c r="H10" s="50">
        <f t="shared" si="3"/>
        <v>26528</v>
      </c>
      <c r="I10" s="51">
        <f t="shared" si="4"/>
        <v>18.25</v>
      </c>
      <c r="J10" s="50">
        <v>2447</v>
      </c>
      <c r="K10" s="50">
        <v>11852</v>
      </c>
      <c r="L10" s="50">
        <f t="shared" si="5"/>
        <v>12229</v>
      </c>
      <c r="M10" s="50">
        <f t="shared" si="6"/>
        <v>22622</v>
      </c>
      <c r="N10" s="50">
        <f t="shared" si="2"/>
        <v>3906</v>
      </c>
    </row>
    <row r="11" spans="1:31" s="196" customFormat="1" ht="18.75" customHeight="1">
      <c r="A11" s="49" t="s">
        <v>296</v>
      </c>
      <c r="B11" s="50">
        <v>18884</v>
      </c>
      <c r="C11" s="50">
        <f t="shared" si="0"/>
        <v>16018</v>
      </c>
      <c r="D11" s="50">
        <v>2866</v>
      </c>
      <c r="E11" s="50">
        <v>22448</v>
      </c>
      <c r="F11" s="50">
        <f t="shared" si="1"/>
        <v>19493</v>
      </c>
      <c r="G11" s="50">
        <v>2955</v>
      </c>
      <c r="H11" s="50">
        <f t="shared" si="3"/>
        <v>41332</v>
      </c>
      <c r="I11" s="51">
        <f t="shared" si="4"/>
        <v>28.43</v>
      </c>
      <c r="J11" s="50">
        <v>3720</v>
      </c>
      <c r="K11" s="50">
        <v>20605</v>
      </c>
      <c r="L11" s="50">
        <f t="shared" si="5"/>
        <v>17007</v>
      </c>
      <c r="M11" s="50">
        <f t="shared" si="6"/>
        <v>35511</v>
      </c>
      <c r="N11" s="50">
        <f t="shared" si="2"/>
        <v>5821</v>
      </c>
    </row>
    <row r="12" spans="1:31" s="196" customFormat="1" ht="18.75" customHeight="1">
      <c r="A12" s="49" t="s">
        <v>268</v>
      </c>
      <c r="B12" s="50">
        <v>15509</v>
      </c>
      <c r="C12" s="50">
        <f t="shared" si="0"/>
        <v>13338</v>
      </c>
      <c r="D12" s="50">
        <v>2171</v>
      </c>
      <c r="E12" s="50">
        <v>13130</v>
      </c>
      <c r="F12" s="50">
        <f t="shared" si="1"/>
        <v>11337</v>
      </c>
      <c r="G12" s="50">
        <v>1793</v>
      </c>
      <c r="H12" s="50">
        <f t="shared" si="3"/>
        <v>28639</v>
      </c>
      <c r="I12" s="51">
        <f t="shared" si="4"/>
        <v>19.7</v>
      </c>
      <c r="J12" s="50">
        <v>4234</v>
      </c>
      <c r="K12" s="50">
        <v>17881</v>
      </c>
      <c r="L12" s="50">
        <f t="shared" si="5"/>
        <v>6524</v>
      </c>
      <c r="M12" s="50">
        <f t="shared" si="6"/>
        <v>24675</v>
      </c>
      <c r="N12" s="50">
        <f t="shared" si="6"/>
        <v>3964</v>
      </c>
    </row>
    <row r="13" spans="1:31" s="196" customFormat="1" ht="18.75" customHeight="1">
      <c r="A13" s="49" t="s">
        <v>297</v>
      </c>
      <c r="B13" s="50">
        <v>7305</v>
      </c>
      <c r="C13" s="50">
        <f>B13-D13</f>
        <v>6654</v>
      </c>
      <c r="D13" s="50">
        <v>651</v>
      </c>
      <c r="E13" s="50">
        <v>6314</v>
      </c>
      <c r="F13" s="50">
        <f t="shared" si="1"/>
        <v>5377</v>
      </c>
      <c r="G13" s="50">
        <v>937</v>
      </c>
      <c r="H13" s="50">
        <f>B13+E13</f>
        <v>13619</v>
      </c>
      <c r="I13" s="51">
        <f t="shared" si="4"/>
        <v>9.3699999999999992</v>
      </c>
      <c r="J13" s="50">
        <v>2643</v>
      </c>
      <c r="K13" s="50">
        <v>10965</v>
      </c>
      <c r="L13" s="50">
        <f t="shared" si="5"/>
        <v>11</v>
      </c>
      <c r="M13" s="50">
        <f>C13+F13</f>
        <v>12031</v>
      </c>
      <c r="N13" s="50">
        <f>D13+G13</f>
        <v>1588</v>
      </c>
    </row>
    <row r="14" spans="1:31" s="196" customFormat="1" ht="18.75" customHeight="1">
      <c r="A14" s="395" t="s">
        <v>56</v>
      </c>
      <c r="B14" s="396">
        <f>SUM(B5:B13)</f>
        <v>72484</v>
      </c>
      <c r="C14" s="396">
        <f t="shared" ref="C14:N14" si="7">SUM(C5:C13)</f>
        <v>62148</v>
      </c>
      <c r="D14" s="396">
        <f t="shared" si="7"/>
        <v>10336</v>
      </c>
      <c r="E14" s="396">
        <f t="shared" si="7"/>
        <v>72901</v>
      </c>
      <c r="F14" s="396">
        <f t="shared" si="7"/>
        <v>63615</v>
      </c>
      <c r="G14" s="396">
        <f t="shared" si="7"/>
        <v>9286</v>
      </c>
      <c r="H14" s="396">
        <f t="shared" si="7"/>
        <v>145385</v>
      </c>
      <c r="I14" s="397">
        <f t="shared" si="7"/>
        <v>100.00000000000001</v>
      </c>
      <c r="J14" s="396">
        <f t="shared" si="7"/>
        <v>16409</v>
      </c>
      <c r="K14" s="396">
        <f t="shared" si="7"/>
        <v>75914</v>
      </c>
      <c r="L14" s="396">
        <f>SUM(L5:L13)</f>
        <v>53062</v>
      </c>
      <c r="M14" s="396">
        <f t="shared" si="7"/>
        <v>125763</v>
      </c>
      <c r="N14" s="396">
        <f t="shared" si="7"/>
        <v>19622</v>
      </c>
    </row>
    <row r="15" spans="1:31" s="196" customFormat="1" ht="17.25" customHeight="1">
      <c r="A15" s="44"/>
      <c r="B15" s="398"/>
      <c r="C15" s="398"/>
      <c r="D15" s="398"/>
      <c r="E15" s="398"/>
      <c r="F15" s="398"/>
      <c r="G15" s="398"/>
      <c r="H15" s="398"/>
      <c r="I15" s="399"/>
      <c r="J15" s="398"/>
      <c r="K15" s="398"/>
      <c r="L15" s="398"/>
      <c r="M15" s="398"/>
      <c r="N15" s="398"/>
    </row>
  </sheetData>
  <mergeCells count="5">
    <mergeCell ref="A2:N2"/>
    <mergeCell ref="A3:A4"/>
    <mergeCell ref="B3:D3"/>
    <mergeCell ref="E3:G3"/>
    <mergeCell ref="H3:N3"/>
  </mergeCells>
  <hyperlinks>
    <hyperlink ref="A1" location="turinys!A1" display="Grįžti į turinį"/>
  </hyperlinks>
  <printOptions horizontalCentered="1"/>
  <pageMargins left="0.35433070866141736" right="0.23622047244094491" top="0.55118110236220474" bottom="0.23622047244094491" header="0.27559055118110237" footer="0.23622047244094491"/>
  <pageSetup paperSize="9" scale="90" orientation="portrait" horizontalDpi="4294967292" r:id="rId1"/>
  <headerFooter alignWithMargins="0">
    <oddHeader>&amp;A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0"/>
  <sheetViews>
    <sheetView zoomScale="96" zoomScaleNormal="96" workbookViewId="0"/>
  </sheetViews>
  <sheetFormatPr defaultRowHeight="12.75"/>
  <cols>
    <col min="1" max="1" width="13.7109375" style="605" customWidth="1"/>
    <col min="2" max="2" width="8.7109375" style="605" customWidth="1"/>
    <col min="3" max="3" width="8.5703125" style="463" customWidth="1"/>
    <col min="4" max="4" width="7.140625" style="463" customWidth="1"/>
    <col min="5" max="5" width="7.7109375" style="463" customWidth="1"/>
    <col min="6" max="6" width="8.5703125" style="463" customWidth="1"/>
    <col min="7" max="7" width="6.7109375" style="463" customWidth="1"/>
    <col min="8" max="8" width="8.28515625" style="463" customWidth="1"/>
    <col min="9" max="9" width="9" style="463" customWidth="1"/>
    <col min="10" max="10" width="7.7109375" style="463" customWidth="1"/>
    <col min="11" max="11" width="8" style="463" bestFit="1" customWidth="1"/>
    <col min="12" max="12" width="6.85546875" style="463" bestFit="1" customWidth="1"/>
    <col min="13" max="13" width="7.85546875" style="463" customWidth="1"/>
    <col min="14" max="14" width="7.140625" style="463" customWidth="1"/>
    <col min="15" max="16384" width="9.140625" style="463"/>
  </cols>
  <sheetData>
    <row r="1" spans="1:31" s="459" customFormat="1" ht="16.5" customHeight="1">
      <c r="A1" s="523" t="s">
        <v>225</v>
      </c>
    </row>
    <row r="3" spans="1:31" s="462" customFormat="1" ht="27" customHeight="1">
      <c r="A3" s="710" t="s">
        <v>586</v>
      </c>
      <c r="B3" s="710"/>
      <c r="C3" s="710"/>
      <c r="D3" s="710"/>
      <c r="E3" s="710"/>
      <c r="F3" s="710"/>
      <c r="G3" s="710"/>
      <c r="H3" s="710"/>
      <c r="I3" s="710"/>
      <c r="J3" s="710"/>
      <c r="K3" s="710"/>
      <c r="L3" s="710"/>
      <c r="M3" s="710"/>
      <c r="N3" s="710"/>
      <c r="O3" s="590"/>
    </row>
    <row r="4" spans="1:31" s="592" customFormat="1" ht="24.75" customHeight="1">
      <c r="A4" s="705" t="s">
        <v>276</v>
      </c>
      <c r="B4" s="707" t="s">
        <v>277</v>
      </c>
      <c r="C4" s="708"/>
      <c r="D4" s="709"/>
      <c r="E4" s="707" t="s">
        <v>278</v>
      </c>
      <c r="F4" s="708"/>
      <c r="G4" s="708"/>
      <c r="H4" s="707" t="s">
        <v>56</v>
      </c>
      <c r="I4" s="708"/>
      <c r="J4" s="708"/>
      <c r="K4" s="708"/>
      <c r="L4" s="708"/>
      <c r="M4" s="708"/>
      <c r="N4" s="709"/>
      <c r="O4" s="379"/>
      <c r="P4" s="711"/>
      <c r="Q4" s="711"/>
      <c r="R4" s="711"/>
      <c r="S4" s="711"/>
      <c r="T4" s="711"/>
      <c r="U4" s="711"/>
      <c r="V4" s="711"/>
      <c r="W4" s="711"/>
      <c r="X4" s="711"/>
      <c r="Y4" s="711"/>
      <c r="Z4" s="711"/>
      <c r="AA4" s="711"/>
      <c r="AB4" s="711"/>
      <c r="AC4" s="591"/>
      <c r="AD4" s="591"/>
      <c r="AE4" s="591"/>
    </row>
    <row r="5" spans="1:31" s="592" customFormat="1" ht="104.25" customHeight="1">
      <c r="A5" s="706"/>
      <c r="B5" s="47" t="s">
        <v>56</v>
      </c>
      <c r="C5" s="521" t="s">
        <v>279</v>
      </c>
      <c r="D5" s="521" t="s">
        <v>280</v>
      </c>
      <c r="E5" s="47" t="s">
        <v>56</v>
      </c>
      <c r="F5" s="521" t="s">
        <v>281</v>
      </c>
      <c r="G5" s="521" t="s">
        <v>282</v>
      </c>
      <c r="H5" s="381" t="s">
        <v>56</v>
      </c>
      <c r="I5" s="521" t="s">
        <v>298</v>
      </c>
      <c r="J5" s="381" t="s">
        <v>299</v>
      </c>
      <c r="K5" s="381" t="s">
        <v>300</v>
      </c>
      <c r="L5" s="381" t="s">
        <v>301</v>
      </c>
      <c r="M5" s="521" t="s">
        <v>279</v>
      </c>
      <c r="N5" s="521" t="s">
        <v>280</v>
      </c>
      <c r="O5" s="591"/>
      <c r="P5" s="382"/>
      <c r="Q5" s="522"/>
      <c r="R5" s="383"/>
      <c r="S5" s="383"/>
      <c r="T5" s="522"/>
      <c r="U5" s="383"/>
      <c r="V5" s="383"/>
      <c r="W5" s="522"/>
      <c r="X5" s="383"/>
      <c r="Y5" s="522"/>
      <c r="Z5" s="522"/>
      <c r="AA5" s="522"/>
      <c r="AB5" s="383"/>
      <c r="AC5" s="383"/>
      <c r="AD5" s="591"/>
      <c r="AE5" s="591"/>
    </row>
    <row r="6" spans="1:31" s="600" customFormat="1" ht="19.5" customHeight="1">
      <c r="A6" s="608" t="s">
        <v>290</v>
      </c>
      <c r="B6" s="593">
        <v>0</v>
      </c>
      <c r="C6" s="593">
        <f>B6-D6</f>
        <v>0</v>
      </c>
      <c r="D6" s="594">
        <v>0</v>
      </c>
      <c r="E6" s="593">
        <v>1</v>
      </c>
      <c r="F6" s="593">
        <f>E6-G6</f>
        <v>1</v>
      </c>
      <c r="G6" s="594">
        <v>0</v>
      </c>
      <c r="H6" s="594">
        <f>B6+E6</f>
        <v>1</v>
      </c>
      <c r="I6" s="595">
        <f>ROUND(H6/$H$19*100,2)</f>
        <v>0</v>
      </c>
      <c r="J6" s="594">
        <v>0</v>
      </c>
      <c r="K6" s="594">
        <v>1</v>
      </c>
      <c r="L6" s="594">
        <f>H6-J6-K6</f>
        <v>0</v>
      </c>
      <c r="M6" s="594">
        <f t="shared" ref="M6:N18" si="0">C6+F6</f>
        <v>1</v>
      </c>
      <c r="N6" s="594">
        <f t="shared" si="0"/>
        <v>0</v>
      </c>
      <c r="O6" s="522"/>
      <c r="P6" s="596"/>
      <c r="Q6" s="596"/>
      <c r="R6" s="597"/>
      <c r="S6" s="596"/>
      <c r="T6" s="596"/>
      <c r="U6" s="597"/>
      <c r="V6" s="598"/>
      <c r="W6" s="599"/>
      <c r="X6" s="598"/>
      <c r="Y6" s="598"/>
      <c r="Z6" s="598"/>
      <c r="AA6" s="598"/>
      <c r="AB6" s="598"/>
      <c r="AC6" s="519"/>
      <c r="AD6" s="519"/>
      <c r="AE6" s="519"/>
    </row>
    <row r="7" spans="1:31" s="600" customFormat="1" ht="19.5" customHeight="1">
      <c r="A7" s="608" t="s">
        <v>291</v>
      </c>
      <c r="B7" s="593">
        <v>44</v>
      </c>
      <c r="C7" s="593">
        <f t="shared" ref="C7:C18" si="1">B7-D7</f>
        <v>44</v>
      </c>
      <c r="D7" s="594">
        <v>0</v>
      </c>
      <c r="E7" s="593">
        <v>13</v>
      </c>
      <c r="F7" s="593">
        <f t="shared" ref="F7:F18" si="2">E7-G7</f>
        <v>13</v>
      </c>
      <c r="G7" s="594">
        <v>0</v>
      </c>
      <c r="H7" s="594">
        <f t="shared" ref="H7:H18" si="3">B7+E7</f>
        <v>57</v>
      </c>
      <c r="I7" s="595">
        <f t="shared" ref="I7:I18" si="4">ROUND(H7/$H$19*100,2)</f>
        <v>0.09</v>
      </c>
      <c r="J7" s="594">
        <v>13</v>
      </c>
      <c r="K7" s="601">
        <v>26</v>
      </c>
      <c r="L7" s="594">
        <f t="shared" ref="L7:L18" si="5">H7-J7-K7</f>
        <v>18</v>
      </c>
      <c r="M7" s="594">
        <f t="shared" si="0"/>
        <v>57</v>
      </c>
      <c r="N7" s="594">
        <f t="shared" si="0"/>
        <v>0</v>
      </c>
      <c r="O7" s="522"/>
      <c r="P7" s="596"/>
      <c r="Q7" s="596"/>
      <c r="R7" s="597"/>
      <c r="S7" s="596"/>
      <c r="T7" s="596"/>
      <c r="U7" s="597"/>
      <c r="V7" s="598"/>
      <c r="W7" s="599"/>
      <c r="X7" s="598"/>
      <c r="Y7" s="597"/>
      <c r="Z7" s="598"/>
      <c r="AA7" s="598"/>
      <c r="AB7" s="598"/>
      <c r="AC7" s="519"/>
      <c r="AD7" s="519"/>
      <c r="AE7" s="519"/>
    </row>
    <row r="8" spans="1:31" s="600" customFormat="1" ht="19.5" customHeight="1">
      <c r="A8" s="608" t="s">
        <v>292</v>
      </c>
      <c r="B8" s="593">
        <v>247</v>
      </c>
      <c r="C8" s="593">
        <f t="shared" si="1"/>
        <v>240</v>
      </c>
      <c r="D8" s="594">
        <v>7</v>
      </c>
      <c r="E8" s="593">
        <v>172</v>
      </c>
      <c r="F8" s="593">
        <f t="shared" si="2"/>
        <v>165</v>
      </c>
      <c r="G8" s="594">
        <v>7</v>
      </c>
      <c r="H8" s="594">
        <f t="shared" si="3"/>
        <v>419</v>
      </c>
      <c r="I8" s="595">
        <f t="shared" si="4"/>
        <v>0.69</v>
      </c>
      <c r="J8" s="594">
        <v>40</v>
      </c>
      <c r="K8" s="594">
        <v>188</v>
      </c>
      <c r="L8" s="594">
        <f t="shared" si="5"/>
        <v>191</v>
      </c>
      <c r="M8" s="594">
        <f t="shared" si="0"/>
        <v>405</v>
      </c>
      <c r="N8" s="594">
        <f t="shared" si="0"/>
        <v>14</v>
      </c>
      <c r="O8" s="522"/>
      <c r="P8" s="596"/>
      <c r="Q8" s="596"/>
      <c r="R8" s="597"/>
      <c r="S8" s="596"/>
      <c r="T8" s="596"/>
      <c r="U8" s="597"/>
      <c r="V8" s="598"/>
      <c r="W8" s="599"/>
      <c r="X8" s="598"/>
      <c r="Y8" s="598"/>
      <c r="Z8" s="598"/>
      <c r="AA8" s="598"/>
      <c r="AB8" s="598"/>
      <c r="AC8" s="519"/>
      <c r="AD8" s="519"/>
      <c r="AE8" s="519"/>
    </row>
    <row r="9" spans="1:31" s="600" customFormat="1" ht="19.5" customHeight="1">
      <c r="A9" s="608" t="s">
        <v>293</v>
      </c>
      <c r="B9" s="593">
        <v>911</v>
      </c>
      <c r="C9" s="593">
        <f t="shared" si="1"/>
        <v>875</v>
      </c>
      <c r="D9" s="594">
        <v>36</v>
      </c>
      <c r="E9" s="593">
        <v>552</v>
      </c>
      <c r="F9" s="593">
        <f t="shared" si="2"/>
        <v>533</v>
      </c>
      <c r="G9" s="594">
        <v>19</v>
      </c>
      <c r="H9" s="594">
        <f t="shared" si="3"/>
        <v>1463</v>
      </c>
      <c r="I9" s="595">
        <f t="shared" si="4"/>
        <v>2.42</v>
      </c>
      <c r="J9" s="594">
        <v>173</v>
      </c>
      <c r="K9" s="594">
        <v>718</v>
      </c>
      <c r="L9" s="594">
        <f t="shared" si="5"/>
        <v>572</v>
      </c>
      <c r="M9" s="594">
        <f t="shared" si="0"/>
        <v>1408</v>
      </c>
      <c r="N9" s="594">
        <f t="shared" si="0"/>
        <v>55</v>
      </c>
      <c r="O9" s="522"/>
      <c r="P9" s="596"/>
      <c r="Q9" s="596"/>
      <c r="R9" s="597"/>
      <c r="S9" s="596"/>
      <c r="T9" s="596"/>
      <c r="U9" s="597"/>
      <c r="V9" s="598"/>
      <c r="W9" s="599"/>
      <c r="X9" s="598"/>
      <c r="Y9" s="598"/>
      <c r="Z9" s="598"/>
      <c r="AA9" s="598"/>
      <c r="AB9" s="598"/>
      <c r="AC9" s="519"/>
      <c r="AD9" s="519"/>
      <c r="AE9" s="519"/>
    </row>
    <row r="10" spans="1:31" s="600" customFormat="1" ht="19.5" customHeight="1">
      <c r="A10" s="608" t="s">
        <v>294</v>
      </c>
      <c r="B10" s="593">
        <v>1595</v>
      </c>
      <c r="C10" s="593">
        <f t="shared" si="1"/>
        <v>1546</v>
      </c>
      <c r="D10" s="594">
        <v>49</v>
      </c>
      <c r="E10" s="593">
        <v>1141</v>
      </c>
      <c r="F10" s="593">
        <f t="shared" si="2"/>
        <v>1133</v>
      </c>
      <c r="G10" s="594">
        <v>8</v>
      </c>
      <c r="H10" s="594">
        <f t="shared" si="3"/>
        <v>2736</v>
      </c>
      <c r="I10" s="595">
        <f t="shared" si="4"/>
        <v>4.5199999999999996</v>
      </c>
      <c r="J10" s="594">
        <v>315</v>
      </c>
      <c r="K10" s="594">
        <v>1520</v>
      </c>
      <c r="L10" s="594">
        <f t="shared" si="5"/>
        <v>901</v>
      </c>
      <c r="M10" s="594">
        <f t="shared" si="0"/>
        <v>2679</v>
      </c>
      <c r="N10" s="594">
        <f t="shared" si="0"/>
        <v>57</v>
      </c>
      <c r="O10" s="522"/>
      <c r="P10" s="596"/>
      <c r="Q10" s="596"/>
      <c r="R10" s="597"/>
      <c r="S10" s="596"/>
      <c r="T10" s="596"/>
      <c r="U10" s="597"/>
      <c r="V10" s="598"/>
      <c r="W10" s="599"/>
      <c r="X10" s="598"/>
      <c r="Y10" s="598"/>
      <c r="Z10" s="598"/>
      <c r="AA10" s="598"/>
      <c r="AB10" s="598"/>
      <c r="AC10" s="519"/>
      <c r="AD10" s="519"/>
      <c r="AE10" s="519"/>
    </row>
    <row r="11" spans="1:31" s="600" customFormat="1" ht="19.5" customHeight="1">
      <c r="A11" s="608" t="s">
        <v>295</v>
      </c>
      <c r="B11" s="593">
        <v>2095</v>
      </c>
      <c r="C11" s="593">
        <f t="shared" si="1"/>
        <v>2039</v>
      </c>
      <c r="D11" s="594">
        <v>56</v>
      </c>
      <c r="E11" s="593">
        <v>1728</v>
      </c>
      <c r="F11" s="593">
        <f t="shared" si="2"/>
        <v>1694</v>
      </c>
      <c r="G11" s="594">
        <v>34</v>
      </c>
      <c r="H11" s="594">
        <f t="shared" si="3"/>
        <v>3823</v>
      </c>
      <c r="I11" s="595">
        <f t="shared" si="4"/>
        <v>6.32</v>
      </c>
      <c r="J11" s="594">
        <v>466</v>
      </c>
      <c r="K11" s="594">
        <v>2182</v>
      </c>
      <c r="L11" s="594">
        <f t="shared" si="5"/>
        <v>1175</v>
      </c>
      <c r="M11" s="594">
        <f t="shared" si="0"/>
        <v>3733</v>
      </c>
      <c r="N11" s="594">
        <f t="shared" si="0"/>
        <v>90</v>
      </c>
      <c r="O11" s="522"/>
      <c r="P11" s="596"/>
      <c r="Q11" s="596"/>
      <c r="R11" s="597"/>
      <c r="S11" s="596"/>
      <c r="T11" s="596"/>
      <c r="U11" s="597"/>
      <c r="V11" s="598"/>
      <c r="W11" s="599"/>
      <c r="X11" s="598"/>
      <c r="Y11" s="598"/>
      <c r="Z11" s="598"/>
      <c r="AA11" s="598"/>
      <c r="AB11" s="598"/>
      <c r="AC11" s="519"/>
      <c r="AD11" s="519"/>
      <c r="AE11" s="519"/>
    </row>
    <row r="12" spans="1:31" s="600" customFormat="1" ht="19.5" customHeight="1">
      <c r="A12" s="608" t="s">
        <v>296</v>
      </c>
      <c r="B12" s="593">
        <v>2410</v>
      </c>
      <c r="C12" s="593">
        <f t="shared" si="1"/>
        <v>2334</v>
      </c>
      <c r="D12" s="594">
        <v>76</v>
      </c>
      <c r="E12" s="593">
        <v>2386</v>
      </c>
      <c r="F12" s="593">
        <f t="shared" si="2"/>
        <v>2340</v>
      </c>
      <c r="G12" s="594">
        <v>46</v>
      </c>
      <c r="H12" s="594">
        <f t="shared" si="3"/>
        <v>4796</v>
      </c>
      <c r="I12" s="595">
        <f t="shared" si="4"/>
        <v>7.93</v>
      </c>
      <c r="J12" s="594">
        <v>543</v>
      </c>
      <c r="K12" s="594">
        <v>2889</v>
      </c>
      <c r="L12" s="594">
        <f t="shared" si="5"/>
        <v>1364</v>
      </c>
      <c r="M12" s="594">
        <f t="shared" si="0"/>
        <v>4674</v>
      </c>
      <c r="N12" s="594">
        <f t="shared" si="0"/>
        <v>122</v>
      </c>
      <c r="O12" s="522"/>
      <c r="P12" s="596"/>
      <c r="Q12" s="596"/>
      <c r="R12" s="597"/>
      <c r="S12" s="596"/>
      <c r="T12" s="596"/>
      <c r="U12" s="597"/>
      <c r="V12" s="598"/>
      <c r="W12" s="599"/>
      <c r="X12" s="598"/>
      <c r="Y12" s="598"/>
      <c r="Z12" s="598"/>
      <c r="AA12" s="598"/>
      <c r="AB12" s="598"/>
      <c r="AC12" s="519"/>
      <c r="AD12" s="519"/>
      <c r="AE12" s="519"/>
    </row>
    <row r="13" spans="1:31" s="600" customFormat="1" ht="19.5" customHeight="1">
      <c r="A13" s="608" t="s">
        <v>268</v>
      </c>
      <c r="B13" s="593">
        <v>2083</v>
      </c>
      <c r="C13" s="593">
        <f t="shared" si="1"/>
        <v>2012</v>
      </c>
      <c r="D13" s="594">
        <v>71</v>
      </c>
      <c r="E13" s="593">
        <v>2659</v>
      </c>
      <c r="F13" s="593">
        <f t="shared" si="2"/>
        <v>2582</v>
      </c>
      <c r="G13" s="594">
        <v>77</v>
      </c>
      <c r="H13" s="594">
        <f t="shared" si="3"/>
        <v>4742</v>
      </c>
      <c r="I13" s="595">
        <f t="shared" si="4"/>
        <v>7.84</v>
      </c>
      <c r="J13" s="594">
        <v>572</v>
      </c>
      <c r="K13" s="594">
        <v>3431</v>
      </c>
      <c r="L13" s="594">
        <f t="shared" si="5"/>
        <v>739</v>
      </c>
      <c r="M13" s="594">
        <f t="shared" si="0"/>
        <v>4594</v>
      </c>
      <c r="N13" s="594">
        <f t="shared" si="0"/>
        <v>148</v>
      </c>
      <c r="O13" s="522"/>
      <c r="P13" s="596"/>
      <c r="Q13" s="596"/>
      <c r="R13" s="597"/>
      <c r="S13" s="596"/>
      <c r="T13" s="596"/>
      <c r="U13" s="597"/>
      <c r="V13" s="598"/>
      <c r="W13" s="599"/>
      <c r="X13" s="598"/>
      <c r="Y13" s="598"/>
      <c r="Z13" s="598"/>
      <c r="AA13" s="598"/>
      <c r="AB13" s="598"/>
      <c r="AC13" s="519"/>
      <c r="AD13" s="519"/>
      <c r="AE13" s="519"/>
    </row>
    <row r="14" spans="1:31" s="600" customFormat="1" ht="19.5" customHeight="1">
      <c r="A14" s="608" t="s">
        <v>269</v>
      </c>
      <c r="B14" s="593">
        <v>2349</v>
      </c>
      <c r="C14" s="593">
        <f t="shared" si="1"/>
        <v>2260</v>
      </c>
      <c r="D14" s="594">
        <v>89</v>
      </c>
      <c r="E14" s="593">
        <v>6232</v>
      </c>
      <c r="F14" s="593">
        <f t="shared" si="2"/>
        <v>5919</v>
      </c>
      <c r="G14" s="594">
        <v>313</v>
      </c>
      <c r="H14" s="594">
        <f t="shared" si="3"/>
        <v>8581</v>
      </c>
      <c r="I14" s="595">
        <f t="shared" si="4"/>
        <v>14.18</v>
      </c>
      <c r="J14" s="594">
        <v>806</v>
      </c>
      <c r="K14" s="594">
        <v>7615</v>
      </c>
      <c r="L14" s="594">
        <f t="shared" si="5"/>
        <v>160</v>
      </c>
      <c r="M14" s="594">
        <f t="shared" si="0"/>
        <v>8179</v>
      </c>
      <c r="N14" s="594">
        <f t="shared" si="0"/>
        <v>402</v>
      </c>
      <c r="O14" s="522"/>
      <c r="P14" s="596"/>
      <c r="Q14" s="596"/>
      <c r="R14" s="597"/>
      <c r="S14" s="596"/>
      <c r="T14" s="596"/>
      <c r="U14" s="597"/>
      <c r="V14" s="598"/>
      <c r="W14" s="599"/>
      <c r="X14" s="598"/>
      <c r="Y14" s="598"/>
      <c r="Z14" s="598"/>
      <c r="AA14" s="598"/>
      <c r="AB14" s="598"/>
      <c r="AC14" s="519"/>
      <c r="AD14" s="519"/>
      <c r="AE14" s="519"/>
    </row>
    <row r="15" spans="1:31" s="600" customFormat="1" ht="19.5" customHeight="1">
      <c r="A15" s="608" t="s">
        <v>270</v>
      </c>
      <c r="B15" s="593">
        <v>6207</v>
      </c>
      <c r="C15" s="593">
        <f t="shared" si="1"/>
        <v>6009</v>
      </c>
      <c r="D15" s="594">
        <v>198</v>
      </c>
      <c r="E15" s="593">
        <v>10136</v>
      </c>
      <c r="F15" s="593">
        <f t="shared" si="2"/>
        <v>9556</v>
      </c>
      <c r="G15" s="594">
        <v>580</v>
      </c>
      <c r="H15" s="594">
        <f t="shared" si="3"/>
        <v>16343</v>
      </c>
      <c r="I15" s="595">
        <f t="shared" si="4"/>
        <v>27.01</v>
      </c>
      <c r="J15" s="594">
        <v>1202</v>
      </c>
      <c r="K15" s="594">
        <v>14844</v>
      </c>
      <c r="L15" s="594">
        <f t="shared" si="5"/>
        <v>297</v>
      </c>
      <c r="M15" s="594">
        <f t="shared" si="0"/>
        <v>15565</v>
      </c>
      <c r="N15" s="594">
        <f t="shared" si="0"/>
        <v>778</v>
      </c>
      <c r="O15" s="522"/>
      <c r="P15" s="596"/>
      <c r="Q15" s="596"/>
      <c r="R15" s="597"/>
      <c r="S15" s="596"/>
      <c r="T15" s="596"/>
      <c r="U15" s="597"/>
      <c r="V15" s="598"/>
      <c r="W15" s="599"/>
      <c r="X15" s="598"/>
      <c r="Y15" s="598"/>
      <c r="Z15" s="598"/>
      <c r="AA15" s="598"/>
      <c r="AB15" s="598"/>
      <c r="AC15" s="519"/>
      <c r="AD15" s="519"/>
      <c r="AE15" s="519"/>
    </row>
    <row r="16" spans="1:31" s="600" customFormat="1" ht="19.5" customHeight="1">
      <c r="A16" s="608" t="s">
        <v>271</v>
      </c>
      <c r="B16" s="593">
        <v>4162</v>
      </c>
      <c r="C16" s="593">
        <f t="shared" si="1"/>
        <v>4024</v>
      </c>
      <c r="D16" s="594">
        <v>138</v>
      </c>
      <c r="E16" s="593">
        <v>5175</v>
      </c>
      <c r="F16" s="593">
        <f t="shared" si="2"/>
        <v>4997</v>
      </c>
      <c r="G16" s="594">
        <v>178</v>
      </c>
      <c r="H16" s="594">
        <f t="shared" si="3"/>
        <v>9337</v>
      </c>
      <c r="I16" s="595">
        <f t="shared" si="4"/>
        <v>15.43</v>
      </c>
      <c r="J16" s="594">
        <v>1159</v>
      </c>
      <c r="K16" s="594">
        <v>8074</v>
      </c>
      <c r="L16" s="594">
        <f t="shared" si="5"/>
        <v>104</v>
      </c>
      <c r="M16" s="594">
        <f t="shared" si="0"/>
        <v>9021</v>
      </c>
      <c r="N16" s="594">
        <f t="shared" si="0"/>
        <v>316</v>
      </c>
      <c r="O16" s="522"/>
      <c r="P16" s="596"/>
      <c r="Q16" s="596"/>
      <c r="R16" s="597"/>
      <c r="S16" s="596"/>
      <c r="T16" s="596"/>
      <c r="U16" s="597"/>
      <c r="V16" s="598"/>
      <c r="W16" s="599"/>
      <c r="X16" s="598"/>
      <c r="Y16" s="598"/>
      <c r="Z16" s="598"/>
      <c r="AA16" s="598"/>
      <c r="AB16" s="598"/>
      <c r="AC16" s="519"/>
      <c r="AD16" s="519"/>
      <c r="AE16" s="519"/>
    </row>
    <row r="17" spans="1:31" s="600" customFormat="1" ht="19.5" customHeight="1">
      <c r="A17" s="608" t="s">
        <v>272</v>
      </c>
      <c r="B17" s="593">
        <v>1926</v>
      </c>
      <c r="C17" s="593">
        <f t="shared" si="1"/>
        <v>1848</v>
      </c>
      <c r="D17" s="594">
        <v>78</v>
      </c>
      <c r="E17" s="593">
        <v>3175</v>
      </c>
      <c r="F17" s="593">
        <f t="shared" si="2"/>
        <v>3057</v>
      </c>
      <c r="G17" s="594">
        <v>118</v>
      </c>
      <c r="H17" s="594">
        <f t="shared" si="3"/>
        <v>5101</v>
      </c>
      <c r="I17" s="595">
        <f t="shared" si="4"/>
        <v>8.43</v>
      </c>
      <c r="J17" s="594">
        <v>1065</v>
      </c>
      <c r="K17" s="594">
        <v>3996</v>
      </c>
      <c r="L17" s="594">
        <f t="shared" si="5"/>
        <v>40</v>
      </c>
      <c r="M17" s="594">
        <f t="shared" si="0"/>
        <v>4905</v>
      </c>
      <c r="N17" s="594">
        <f t="shared" si="0"/>
        <v>196</v>
      </c>
      <c r="O17" s="522"/>
      <c r="P17" s="596"/>
      <c r="Q17" s="596"/>
      <c r="R17" s="597"/>
      <c r="S17" s="596"/>
      <c r="T17" s="596"/>
      <c r="U17" s="597"/>
      <c r="V17" s="598"/>
      <c r="W17" s="599"/>
      <c r="X17" s="598"/>
      <c r="Y17" s="598"/>
      <c r="Z17" s="598"/>
      <c r="AA17" s="598"/>
      <c r="AB17" s="598"/>
      <c r="AC17" s="519"/>
      <c r="AD17" s="519"/>
      <c r="AE17" s="519"/>
    </row>
    <row r="18" spans="1:31" s="600" customFormat="1" ht="19.5" customHeight="1">
      <c r="A18" s="608" t="s">
        <v>302</v>
      </c>
      <c r="B18" s="593">
        <v>876</v>
      </c>
      <c r="C18" s="593">
        <f t="shared" si="1"/>
        <v>818</v>
      </c>
      <c r="D18" s="594">
        <v>58</v>
      </c>
      <c r="E18" s="593">
        <v>2235</v>
      </c>
      <c r="F18" s="593">
        <f t="shared" si="2"/>
        <v>2045</v>
      </c>
      <c r="G18" s="594">
        <v>190</v>
      </c>
      <c r="H18" s="594">
        <f t="shared" si="3"/>
        <v>3111</v>
      </c>
      <c r="I18" s="595">
        <f t="shared" si="4"/>
        <v>5.14</v>
      </c>
      <c r="J18" s="594">
        <v>976</v>
      </c>
      <c r="K18" s="594">
        <v>2109</v>
      </c>
      <c r="L18" s="594">
        <f t="shared" si="5"/>
        <v>26</v>
      </c>
      <c r="M18" s="594">
        <f>C18+F18</f>
        <v>2863</v>
      </c>
      <c r="N18" s="594">
        <f t="shared" si="0"/>
        <v>248</v>
      </c>
      <c r="O18" s="522"/>
      <c r="P18" s="596"/>
      <c r="Q18" s="596"/>
      <c r="R18" s="597"/>
      <c r="S18" s="596"/>
      <c r="T18" s="596"/>
      <c r="U18" s="597"/>
      <c r="V18" s="598"/>
      <c r="W18" s="599"/>
      <c r="X18" s="598"/>
      <c r="Y18" s="598"/>
      <c r="Z18" s="598"/>
      <c r="AA18" s="598"/>
      <c r="AB18" s="598"/>
      <c r="AC18" s="519"/>
      <c r="AD18" s="519"/>
      <c r="AE18" s="519"/>
    </row>
    <row r="19" spans="1:31" s="600" customFormat="1" ht="19.5" customHeight="1">
      <c r="A19" s="609" t="s">
        <v>56</v>
      </c>
      <c r="B19" s="602">
        <f t="shared" ref="B19:M19" si="6">SUM(B6:B18)</f>
        <v>24905</v>
      </c>
      <c r="C19" s="602">
        <f t="shared" si="6"/>
        <v>24049</v>
      </c>
      <c r="D19" s="602">
        <f t="shared" si="6"/>
        <v>856</v>
      </c>
      <c r="E19" s="602">
        <f t="shared" si="6"/>
        <v>35605</v>
      </c>
      <c r="F19" s="602">
        <f t="shared" si="6"/>
        <v>34035</v>
      </c>
      <c r="G19" s="602">
        <f t="shared" si="6"/>
        <v>1570</v>
      </c>
      <c r="H19" s="602">
        <f t="shared" si="6"/>
        <v>60510</v>
      </c>
      <c r="I19" s="603">
        <f t="shared" si="6"/>
        <v>100.00000000000001</v>
      </c>
      <c r="J19" s="602">
        <f t="shared" si="6"/>
        <v>7330</v>
      </c>
      <c r="K19" s="602">
        <f t="shared" si="6"/>
        <v>47593</v>
      </c>
      <c r="L19" s="602">
        <f t="shared" si="6"/>
        <v>5587</v>
      </c>
      <c r="M19" s="602">
        <f t="shared" si="6"/>
        <v>58084</v>
      </c>
      <c r="N19" s="602">
        <f>SUM(N6:N18)</f>
        <v>2426</v>
      </c>
      <c r="O19" s="44"/>
      <c r="P19" s="45"/>
      <c r="Q19" s="45"/>
      <c r="R19" s="45"/>
      <c r="S19" s="45"/>
      <c r="T19" s="45"/>
      <c r="U19" s="45"/>
      <c r="V19" s="45"/>
      <c r="W19" s="46"/>
      <c r="X19" s="45"/>
      <c r="Y19" s="45"/>
      <c r="Z19" s="45"/>
      <c r="AA19" s="45"/>
      <c r="AB19" s="45"/>
      <c r="AC19" s="519"/>
      <c r="AD19" s="519"/>
      <c r="AE19" s="519"/>
    </row>
    <row r="20" spans="1:31" s="600" customFormat="1" ht="15">
      <c r="A20" s="604"/>
      <c r="B20" s="604"/>
    </row>
  </sheetData>
  <mergeCells count="8">
    <mergeCell ref="A3:N3"/>
    <mergeCell ref="V4:AB4"/>
    <mergeCell ref="A4:A5"/>
    <mergeCell ref="B4:D4"/>
    <mergeCell ref="E4:G4"/>
    <mergeCell ref="H4:N4"/>
    <mergeCell ref="P4:R4"/>
    <mergeCell ref="S4:U4"/>
  </mergeCells>
  <hyperlinks>
    <hyperlink ref="A1" location="turinys!A1" display="Grįžti į turinį"/>
  </hyperlinks>
  <printOptions horizontalCentered="1"/>
  <pageMargins left="0.16" right="0.24" top="0.54" bottom="0.23622047244094491" header="0.27559055118110237" footer="0.23622047244094491"/>
  <pageSetup paperSize="9" scale="90" orientation="landscape" horizontalDpi="4294967292" r:id="rId1"/>
  <headerFooter alignWithMargins="0">
    <oddHeader>&amp;A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Q21"/>
  <sheetViews>
    <sheetView showZeros="0" zoomScaleNormal="100" workbookViewId="0">
      <pane xSplit="2" ySplit="2" topLeftCell="C9" activePane="bottomRight" state="frozen"/>
      <selection activeCell="D20" sqref="D20"/>
      <selection pane="topRight" activeCell="D20" sqref="D20"/>
      <selection pane="bottomLeft" activeCell="D20" sqref="D20"/>
      <selection pane="bottomRight"/>
    </sheetView>
  </sheetViews>
  <sheetFormatPr defaultColWidth="9" defaultRowHeight="12.75"/>
  <cols>
    <col min="1" max="1" width="4.28515625" style="463" customWidth="1"/>
    <col min="2" max="2" width="24.7109375" style="463" customWidth="1"/>
    <col min="3" max="3" width="9.7109375" style="463" customWidth="1"/>
    <col min="4" max="4" width="7.7109375" style="463" customWidth="1"/>
    <col min="5" max="5" width="10" style="463" customWidth="1"/>
    <col min="6" max="6" width="10.140625" style="463" customWidth="1"/>
    <col min="7" max="7" width="9.28515625" style="463" customWidth="1"/>
    <col min="8" max="8" width="8.140625" style="463" customWidth="1"/>
    <col min="9" max="9" width="9.42578125" style="463" customWidth="1"/>
    <col min="10" max="10" width="10.85546875" style="463" customWidth="1"/>
    <col min="11" max="11" width="9.85546875" style="463" customWidth="1"/>
    <col min="12" max="12" width="9.5703125" style="463" customWidth="1"/>
    <col min="13" max="13" width="9.85546875" style="463" customWidth="1"/>
    <col min="14" max="14" width="8.85546875" style="463" customWidth="1"/>
    <col min="15" max="15" width="9.85546875" style="463" customWidth="1"/>
    <col min="16" max="16384" width="9" style="463"/>
  </cols>
  <sheetData>
    <row r="1" spans="1:15" s="459" customFormat="1" ht="17.25" customHeight="1">
      <c r="A1" s="568" t="s">
        <v>225</v>
      </c>
    </row>
    <row r="3" spans="1:15" s="462" customFormat="1" ht="18.75">
      <c r="A3" s="610" t="s">
        <v>587</v>
      </c>
      <c r="B3" s="611"/>
      <c r="C3" s="612"/>
      <c r="D3" s="612"/>
      <c r="E3" s="612"/>
      <c r="F3" s="612"/>
      <c r="G3" s="612"/>
      <c r="H3" s="612"/>
      <c r="I3" s="612"/>
      <c r="J3" s="612"/>
      <c r="K3" s="612"/>
      <c r="L3" s="611"/>
      <c r="M3" s="611"/>
      <c r="N3" s="611"/>
      <c r="O3" s="611"/>
    </row>
    <row r="4" spans="1:15" s="462" customFormat="1" ht="17.25" customHeight="1">
      <c r="A4" s="613"/>
      <c r="B4" s="614"/>
      <c r="C4" s="615"/>
      <c r="D4" s="400" t="s">
        <v>303</v>
      </c>
      <c r="E4" s="400"/>
      <c r="F4" s="400"/>
      <c r="G4" s="400"/>
      <c r="H4" s="400"/>
      <c r="I4" s="400"/>
      <c r="J4" s="400"/>
      <c r="K4" s="400"/>
      <c r="L4" s="400"/>
      <c r="M4" s="400"/>
      <c r="N4" s="400"/>
      <c r="O4" s="400"/>
    </row>
    <row r="5" spans="1:15" s="462" customFormat="1" ht="84.75" customHeight="1">
      <c r="A5" s="401" t="s">
        <v>304</v>
      </c>
      <c r="B5" s="400"/>
      <c r="C5" s="402" t="s">
        <v>305</v>
      </c>
      <c r="D5" s="403" t="s">
        <v>255</v>
      </c>
      <c r="E5" s="402" t="s">
        <v>306</v>
      </c>
      <c r="F5" s="547" t="s">
        <v>257</v>
      </c>
      <c r="G5" s="402" t="s">
        <v>307</v>
      </c>
      <c r="H5" s="403" t="s">
        <v>258</v>
      </c>
      <c r="I5" s="402" t="s">
        <v>308</v>
      </c>
      <c r="J5" s="403" t="s">
        <v>309</v>
      </c>
      <c r="K5" s="402" t="s">
        <v>310</v>
      </c>
      <c r="L5" s="403" t="s">
        <v>311</v>
      </c>
      <c r="M5" s="402" t="s">
        <v>312</v>
      </c>
      <c r="N5" s="403" t="s">
        <v>56</v>
      </c>
      <c r="O5" s="402" t="s">
        <v>313</v>
      </c>
    </row>
    <row r="6" spans="1:15" s="462" customFormat="1" ht="15.75" customHeight="1">
      <c r="A6" s="404"/>
      <c r="B6" s="616">
        <v>1</v>
      </c>
      <c r="C6" s="405">
        <v>2</v>
      </c>
      <c r="D6" s="617">
        <v>3</v>
      </c>
      <c r="E6" s="405">
        <v>4</v>
      </c>
      <c r="F6" s="617">
        <v>5</v>
      </c>
      <c r="G6" s="405">
        <v>6</v>
      </c>
      <c r="H6" s="617">
        <v>7</v>
      </c>
      <c r="I6" s="405">
        <v>8</v>
      </c>
      <c r="J6" s="617">
        <v>9</v>
      </c>
      <c r="K6" s="405">
        <v>10</v>
      </c>
      <c r="L6" s="617">
        <v>11</v>
      </c>
      <c r="M6" s="405">
        <v>12</v>
      </c>
      <c r="N6" s="617">
        <v>13</v>
      </c>
      <c r="O6" s="405">
        <v>14</v>
      </c>
    </row>
    <row r="7" spans="1:15" s="619" customFormat="1" ht="27.75" customHeight="1">
      <c r="A7" s="618" t="s">
        <v>12</v>
      </c>
      <c r="B7" s="619" t="s">
        <v>314</v>
      </c>
      <c r="C7" s="620">
        <v>597044</v>
      </c>
      <c r="D7" s="620"/>
      <c r="E7" s="621"/>
      <c r="F7" s="621"/>
      <c r="G7" s="621"/>
      <c r="H7" s="620">
        <f>140093+52478+460</f>
        <v>193031</v>
      </c>
      <c r="I7" s="622">
        <f t="shared" ref="I7:I16" si="0">H7*100/C7</f>
        <v>32.331117974554637</v>
      </c>
      <c r="J7" s="620">
        <v>3120</v>
      </c>
      <c r="K7" s="622">
        <f t="shared" ref="K7:K16" si="1">J7*100/C7</f>
        <v>0.52257455061938485</v>
      </c>
      <c r="L7" s="620">
        <v>54003</v>
      </c>
      <c r="M7" s="622">
        <f t="shared" ref="M7:M15" si="2">L7*100/C7</f>
        <v>9.0450620054803323</v>
      </c>
      <c r="N7" s="620">
        <f>SUM(D7,F7,H7,J7,L7)</f>
        <v>250154</v>
      </c>
      <c r="O7" s="622">
        <f t="shared" ref="O7:O19" si="3">N7*100/C7</f>
        <v>41.898754530654358</v>
      </c>
    </row>
    <row r="8" spans="1:15" s="619" customFormat="1" ht="27.75" customHeight="1">
      <c r="A8" s="618" t="s">
        <v>32</v>
      </c>
      <c r="B8" s="619" t="s">
        <v>315</v>
      </c>
      <c r="C8" s="620">
        <v>60510</v>
      </c>
      <c r="D8" s="620"/>
      <c r="E8" s="621"/>
      <c r="F8" s="621"/>
      <c r="G8" s="621"/>
      <c r="H8" s="620">
        <f>10744+2909+3645</f>
        <v>17298</v>
      </c>
      <c r="I8" s="622">
        <f t="shared" si="0"/>
        <v>28.587010411502231</v>
      </c>
      <c r="J8" s="620">
        <v>51</v>
      </c>
      <c r="K8" s="622">
        <f t="shared" si="1"/>
        <v>8.4283589489340602E-2</v>
      </c>
      <c r="L8" s="620">
        <v>5487</v>
      </c>
      <c r="M8" s="622">
        <f t="shared" si="2"/>
        <v>9.067922657411998</v>
      </c>
      <c r="N8" s="620">
        <f>SUM(D8,F8,H8,J8,L8)</f>
        <v>22836</v>
      </c>
      <c r="O8" s="622">
        <f t="shared" si="3"/>
        <v>37.739216658403571</v>
      </c>
    </row>
    <row r="9" spans="1:15" s="462" customFormat="1" ht="27.75" customHeight="1">
      <c r="A9" s="623" t="s">
        <v>34</v>
      </c>
      <c r="B9" s="462" t="s">
        <v>316</v>
      </c>
      <c r="C9" s="624">
        <v>7330</v>
      </c>
      <c r="D9" s="624"/>
      <c r="E9" s="625"/>
      <c r="F9" s="625"/>
      <c r="G9" s="625"/>
      <c r="H9" s="624">
        <f>1409+607+657</f>
        <v>2673</v>
      </c>
      <c r="I9" s="626">
        <f t="shared" si="0"/>
        <v>36.466575716234651</v>
      </c>
      <c r="J9" s="624">
        <v>8</v>
      </c>
      <c r="K9" s="626">
        <f t="shared" si="1"/>
        <v>0.10914051841746249</v>
      </c>
      <c r="L9" s="624">
        <v>703</v>
      </c>
      <c r="M9" s="626">
        <f t="shared" si="2"/>
        <v>9.5907230559345162</v>
      </c>
      <c r="N9" s="624">
        <f>SUM(D9,F9,H9,J9,L9)</f>
        <v>3384</v>
      </c>
      <c r="O9" s="626">
        <f t="shared" si="3"/>
        <v>46.166439290586631</v>
      </c>
    </row>
    <row r="10" spans="1:15" s="462" customFormat="1" ht="27.75" customHeight="1">
      <c r="A10" s="623" t="s">
        <v>36</v>
      </c>
      <c r="B10" s="462" t="s">
        <v>317</v>
      </c>
      <c r="C10" s="624">
        <v>47593</v>
      </c>
      <c r="D10" s="624"/>
      <c r="E10" s="625"/>
      <c r="F10" s="625"/>
      <c r="G10" s="625"/>
      <c r="H10" s="624">
        <f>9003+1975+2923</f>
        <v>13901</v>
      </c>
      <c r="I10" s="626">
        <f t="shared" si="0"/>
        <v>29.208076818019457</v>
      </c>
      <c r="J10" s="624">
        <v>43</v>
      </c>
      <c r="K10" s="626">
        <f t="shared" si="1"/>
        <v>9.0349421133359947E-2</v>
      </c>
      <c r="L10" s="624">
        <v>4456</v>
      </c>
      <c r="M10" s="626">
        <f t="shared" si="2"/>
        <v>9.3627214086105095</v>
      </c>
      <c r="N10" s="624">
        <f t="shared" ref="N10:N19" si="4">SUM(D10,F10,H10,J10,L10)</f>
        <v>18400</v>
      </c>
      <c r="O10" s="626">
        <f t="shared" si="3"/>
        <v>38.661147647763329</v>
      </c>
    </row>
    <row r="11" spans="1:15" s="462" customFormat="1" ht="27.75" customHeight="1">
      <c r="A11" s="623" t="s">
        <v>38</v>
      </c>
      <c r="B11" s="462" t="s">
        <v>318</v>
      </c>
      <c r="C11" s="624">
        <v>5587</v>
      </c>
      <c r="D11" s="624"/>
      <c r="E11" s="625"/>
      <c r="F11" s="625"/>
      <c r="G11" s="625"/>
      <c r="H11" s="624">
        <f>H8-H9-H10</f>
        <v>724</v>
      </c>
      <c r="I11" s="626">
        <f t="shared" si="0"/>
        <v>12.958654018256667</v>
      </c>
      <c r="J11" s="624"/>
      <c r="K11" s="626">
        <f t="shared" si="1"/>
        <v>0</v>
      </c>
      <c r="L11" s="624">
        <f>L8-L9-L10</f>
        <v>328</v>
      </c>
      <c r="M11" s="626">
        <f t="shared" si="2"/>
        <v>5.8707714336853414</v>
      </c>
      <c r="N11" s="624">
        <f t="shared" si="4"/>
        <v>1052</v>
      </c>
      <c r="O11" s="626">
        <f t="shared" si="3"/>
        <v>18.829425451942008</v>
      </c>
    </row>
    <row r="12" spans="1:15" s="619" customFormat="1" ht="27.75" customHeight="1">
      <c r="A12" s="618" t="s">
        <v>50</v>
      </c>
      <c r="B12" s="619" t="s">
        <v>319</v>
      </c>
      <c r="C12" s="620">
        <v>145385</v>
      </c>
      <c r="D12" s="620"/>
      <c r="E12" s="621"/>
      <c r="F12" s="621"/>
      <c r="G12" s="621"/>
      <c r="H12" s="620">
        <f>7250+1377+716</f>
        <v>9343</v>
      </c>
      <c r="I12" s="622">
        <f t="shared" si="0"/>
        <v>6.4263851153832929</v>
      </c>
      <c r="J12" s="620">
        <v>13</v>
      </c>
      <c r="K12" s="622">
        <f t="shared" si="1"/>
        <v>8.9417752863087657E-3</v>
      </c>
      <c r="L12" s="620">
        <v>2739</v>
      </c>
      <c r="M12" s="622">
        <f t="shared" si="2"/>
        <v>1.8839632699384392</v>
      </c>
      <c r="N12" s="620">
        <f t="shared" si="4"/>
        <v>12095</v>
      </c>
      <c r="O12" s="622">
        <f t="shared" si="3"/>
        <v>8.3192901606080412</v>
      </c>
    </row>
    <row r="13" spans="1:15" s="462" customFormat="1" ht="27.75" customHeight="1">
      <c r="A13" s="623" t="s">
        <v>155</v>
      </c>
      <c r="B13" s="462" t="s">
        <v>320</v>
      </c>
      <c r="C13" s="624">
        <v>16409</v>
      </c>
      <c r="D13" s="624"/>
      <c r="E13" s="625"/>
      <c r="F13" s="625"/>
      <c r="G13" s="625"/>
      <c r="H13" s="624">
        <f>970+399+116</f>
        <v>1485</v>
      </c>
      <c r="I13" s="626">
        <f t="shared" si="0"/>
        <v>9.0499116338594678</v>
      </c>
      <c r="J13" s="624">
        <v>7</v>
      </c>
      <c r="K13" s="626">
        <f t="shared" si="1"/>
        <v>4.2659516119202878E-2</v>
      </c>
      <c r="L13" s="624">
        <v>509</v>
      </c>
      <c r="M13" s="626">
        <f t="shared" si="2"/>
        <v>3.1019562435248949</v>
      </c>
      <c r="N13" s="624">
        <f t="shared" si="4"/>
        <v>2001</v>
      </c>
      <c r="O13" s="626">
        <f t="shared" si="3"/>
        <v>12.194527393503565</v>
      </c>
    </row>
    <row r="14" spans="1:15" s="462" customFormat="1" ht="27.75" customHeight="1">
      <c r="A14" s="623" t="s">
        <v>157</v>
      </c>
      <c r="B14" s="462" t="s">
        <v>321</v>
      </c>
      <c r="C14" s="624">
        <v>75914</v>
      </c>
      <c r="D14" s="624"/>
      <c r="E14" s="625"/>
      <c r="F14" s="625"/>
      <c r="G14" s="625"/>
      <c r="H14" s="624">
        <f>4644+667+571</f>
        <v>5882</v>
      </c>
      <c r="I14" s="626">
        <f t="shared" si="0"/>
        <v>7.7482414310930787</v>
      </c>
      <c r="J14" s="624">
        <v>6</v>
      </c>
      <c r="K14" s="626">
        <f t="shared" si="1"/>
        <v>7.9036804805437729E-3</v>
      </c>
      <c r="L14" s="624">
        <v>2077</v>
      </c>
      <c r="M14" s="626">
        <f t="shared" si="2"/>
        <v>2.7359907263482364</v>
      </c>
      <c r="N14" s="624">
        <f t="shared" si="4"/>
        <v>7965</v>
      </c>
      <c r="O14" s="626">
        <f t="shared" si="3"/>
        <v>10.492135837921859</v>
      </c>
    </row>
    <row r="15" spans="1:15" s="462" customFormat="1" ht="27.75" customHeight="1">
      <c r="A15" s="623" t="s">
        <v>159</v>
      </c>
      <c r="B15" s="462" t="s">
        <v>322</v>
      </c>
      <c r="C15" s="624">
        <v>53062</v>
      </c>
      <c r="D15" s="624"/>
      <c r="E15" s="625"/>
      <c r="F15" s="625"/>
      <c r="G15" s="625"/>
      <c r="H15" s="624">
        <f>H12-H13-H14</f>
        <v>1976</v>
      </c>
      <c r="I15" s="626">
        <f t="shared" si="0"/>
        <v>3.7239455731031623</v>
      </c>
      <c r="J15" s="624"/>
      <c r="K15" s="626">
        <f t="shared" si="1"/>
        <v>0</v>
      </c>
      <c r="L15" s="624">
        <f>L12-L13-L14</f>
        <v>153</v>
      </c>
      <c r="M15" s="626">
        <f t="shared" si="2"/>
        <v>0.28834193961780558</v>
      </c>
      <c r="N15" s="624">
        <f t="shared" si="4"/>
        <v>2129</v>
      </c>
      <c r="O15" s="626">
        <f t="shared" si="3"/>
        <v>4.0122875127209676</v>
      </c>
    </row>
    <row r="16" spans="1:15" s="619" customFormat="1" ht="27.75" customHeight="1">
      <c r="A16" s="618" t="s">
        <v>50</v>
      </c>
      <c r="B16" s="619" t="s">
        <v>323</v>
      </c>
      <c r="C16" s="620">
        <v>257017</v>
      </c>
      <c r="D16" s="620">
        <f>460+52478+140093</f>
        <v>193031</v>
      </c>
      <c r="E16" s="622">
        <f>D16*100/C16</f>
        <v>75.104370528019544</v>
      </c>
      <c r="F16" s="620">
        <f>7250+716+1377+2909+3645+10744</f>
        <v>26641</v>
      </c>
      <c r="G16" s="622">
        <f>F16*100/C16</f>
        <v>10.365462206780096</v>
      </c>
      <c r="H16" s="620"/>
      <c r="I16" s="622">
        <f t="shared" si="0"/>
        <v>0</v>
      </c>
      <c r="J16" s="620">
        <f>1+105+498</f>
        <v>604</v>
      </c>
      <c r="K16" s="622">
        <f t="shared" si="1"/>
        <v>0.23500391024718209</v>
      </c>
      <c r="L16" s="620">
        <f>707+7052+22932</f>
        <v>30691</v>
      </c>
      <c r="M16" s="622">
        <f>L16*100/C16</f>
        <v>11.941233459265341</v>
      </c>
      <c r="N16" s="620">
        <f t="shared" si="4"/>
        <v>250967</v>
      </c>
      <c r="O16" s="622">
        <f t="shared" si="3"/>
        <v>97.646070104312173</v>
      </c>
    </row>
    <row r="17" spans="1:17" s="619" customFormat="1" ht="27.75" customHeight="1">
      <c r="A17" s="618" t="s">
        <v>171</v>
      </c>
      <c r="B17" s="619" t="s">
        <v>324</v>
      </c>
      <c r="C17" s="620">
        <v>448</v>
      </c>
      <c r="D17" s="620"/>
      <c r="E17" s="621">
        <f>D17*100/C17</f>
        <v>0</v>
      </c>
      <c r="F17" s="620"/>
      <c r="G17" s="622">
        <f>F17*100/C17</f>
        <v>0</v>
      </c>
      <c r="H17" s="620">
        <f>72+11</f>
        <v>83</v>
      </c>
      <c r="I17" s="622">
        <f>H17*100/C17</f>
        <v>18.526785714285715</v>
      </c>
      <c r="J17" s="620"/>
      <c r="K17" s="621">
        <f>J17*100/C17</f>
        <v>0</v>
      </c>
      <c r="L17" s="620">
        <v>19</v>
      </c>
      <c r="M17" s="622">
        <f>L17*100/C17</f>
        <v>4.2410714285714288</v>
      </c>
      <c r="N17" s="620">
        <f t="shared" si="4"/>
        <v>102</v>
      </c>
      <c r="O17" s="622">
        <f t="shared" si="3"/>
        <v>22.767857142857142</v>
      </c>
    </row>
    <row r="18" spans="1:17" s="619" customFormat="1" ht="27.75" customHeight="1">
      <c r="A18" s="618" t="s">
        <v>173</v>
      </c>
      <c r="B18" s="619" t="s">
        <v>325</v>
      </c>
      <c r="C18" s="620">
        <v>2259</v>
      </c>
      <c r="D18" s="620">
        <v>11</v>
      </c>
      <c r="E18" s="622">
        <f>D18*100/C18</f>
        <v>0.48694112439132359</v>
      </c>
      <c r="F18" s="620">
        <v>2</v>
      </c>
      <c r="G18" s="622">
        <f>F18*100/C18</f>
        <v>8.8534749889331563E-2</v>
      </c>
      <c r="H18" s="620">
        <f>225+5</f>
        <v>230</v>
      </c>
      <c r="I18" s="622">
        <f>H18*100/C18</f>
        <v>10.18149623727313</v>
      </c>
      <c r="J18" s="620"/>
      <c r="K18" s="622">
        <f>J18*100/C18</f>
        <v>0</v>
      </c>
      <c r="L18" s="620">
        <v>188</v>
      </c>
      <c r="M18" s="622">
        <f>L18*100/C18</f>
        <v>8.3222664895971672</v>
      </c>
      <c r="N18" s="620">
        <f t="shared" si="4"/>
        <v>431</v>
      </c>
      <c r="O18" s="622">
        <f t="shared" si="3"/>
        <v>19.079238601150951</v>
      </c>
      <c r="Q18" s="462"/>
    </row>
    <row r="19" spans="1:17" s="619" customFormat="1" ht="27.75" customHeight="1">
      <c r="A19" s="627" t="s">
        <v>186</v>
      </c>
      <c r="B19" s="628" t="s">
        <v>326</v>
      </c>
      <c r="C19" s="629">
        <v>8402</v>
      </c>
      <c r="D19" s="629"/>
      <c r="E19" s="630">
        <f>D19*100/C19</f>
        <v>0</v>
      </c>
      <c r="F19" s="629"/>
      <c r="G19" s="630">
        <f>F19*100/C19</f>
        <v>0</v>
      </c>
      <c r="H19" s="629"/>
      <c r="I19" s="630">
        <f>H19*100/C19</f>
        <v>0</v>
      </c>
      <c r="J19" s="629"/>
      <c r="K19" s="630">
        <f>J19*100/C19</f>
        <v>0</v>
      </c>
      <c r="L19" s="629">
        <v>0</v>
      </c>
      <c r="M19" s="630">
        <f>L19*100/C19</f>
        <v>0</v>
      </c>
      <c r="N19" s="620">
        <f t="shared" si="4"/>
        <v>0</v>
      </c>
      <c r="O19" s="630">
        <f t="shared" si="3"/>
        <v>0</v>
      </c>
      <c r="Q19" s="462"/>
    </row>
    <row r="20" spans="1:17" s="619" customFormat="1" ht="22.5" customHeight="1" thickBot="1">
      <c r="A20" s="631" t="s">
        <v>248</v>
      </c>
      <c r="B20" s="632" t="s">
        <v>259</v>
      </c>
      <c r="C20" s="633">
        <f>SUM(C7,C8,C12,C16,C17,C18,C19)</f>
        <v>1071065</v>
      </c>
      <c r="D20" s="633">
        <f>SUM(D7,D8,D12,D16,D17,D18,D19)</f>
        <v>193042</v>
      </c>
      <c r="E20" s="634">
        <f>D20*100/C20</f>
        <v>18.023369263303348</v>
      </c>
      <c r="F20" s="633">
        <f>SUM(F7,F8,F12,F16,F17,F18,F19)</f>
        <v>26643</v>
      </c>
      <c r="G20" s="634">
        <f>F20*100/C20</f>
        <v>2.4875240998445474</v>
      </c>
      <c r="H20" s="633">
        <f>SUM(H7,H8,H12,H16,H17,H18,H19)</f>
        <v>219985</v>
      </c>
      <c r="I20" s="634">
        <f>H20*100/C20</f>
        <v>20.53890286770644</v>
      </c>
      <c r="J20" s="633">
        <f>SUM(J7,J8,J12,J16,J17,J18,J19)</f>
        <v>3788</v>
      </c>
      <c r="K20" s="634">
        <f>J20*100/C20</f>
        <v>0.3536666775592518</v>
      </c>
      <c r="L20" s="633">
        <f>SUM(L7,L8,L12,L16,L17,L18,L19)</f>
        <v>93127</v>
      </c>
      <c r="M20" s="634">
        <f>L20*100/$C$20</f>
        <v>8.6948037700793144</v>
      </c>
      <c r="N20" s="633">
        <f>SUM(N7,N8,N12,N16,N17,N18,N19)</f>
        <v>536585</v>
      </c>
      <c r="O20" s="634">
        <f>N20*100/C20</f>
        <v>50.098266678492905</v>
      </c>
      <c r="Q20" s="462"/>
    </row>
    <row r="21" spans="1:17" s="462" customFormat="1" ht="36.75" customHeight="1">
      <c r="C21" s="625"/>
      <c r="D21" s="625"/>
      <c r="E21" s="625"/>
      <c r="F21" s="625"/>
      <c r="G21" s="625"/>
      <c r="H21" s="625"/>
      <c r="I21" s="625"/>
      <c r="J21" s="625"/>
      <c r="K21" s="625"/>
      <c r="L21" s="625"/>
      <c r="M21" s="625"/>
      <c r="N21" s="625"/>
      <c r="O21" s="626"/>
    </row>
  </sheetData>
  <hyperlinks>
    <hyperlink ref="A1" location="turinys!A1" display="Grįžti į turinį"/>
  </hyperlinks>
  <pageMargins left="0.43307086614173229" right="0.19685039370078741" top="0.78740157480314965" bottom="0.19685039370078741" header="0.23622047244094491" footer="0.19685039370078741"/>
  <pageSetup paperSize="9" scale="90" orientation="landscape" horizontalDpi="4294967292" verticalDpi="300" r:id="rId1"/>
  <headerFooter alignWithMargins="0">
    <oddHeader>&amp;A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K40"/>
  <sheetViews>
    <sheetView zoomScaleNormal="100" workbookViewId="0">
      <selection activeCell="N10" sqref="N10"/>
    </sheetView>
  </sheetViews>
  <sheetFormatPr defaultColWidth="8.85546875" defaultRowHeight="12.75"/>
  <cols>
    <col min="1" max="3" width="9.140625" style="53" customWidth="1"/>
    <col min="4" max="6" width="8.85546875" style="54" customWidth="1"/>
    <col min="7" max="16384" width="8.85546875" style="53"/>
  </cols>
  <sheetData>
    <row r="1" spans="1:11" s="27" customFormat="1" ht="21" customHeight="1">
      <c r="A1" s="23" t="s">
        <v>225</v>
      </c>
    </row>
    <row r="3" spans="1:11">
      <c r="A3" s="712" t="s">
        <v>328</v>
      </c>
      <c r="B3" s="712"/>
      <c r="C3" s="712"/>
      <c r="D3" s="712"/>
      <c r="E3" s="712"/>
      <c r="F3" s="712"/>
      <c r="G3" s="712"/>
      <c r="H3" s="712"/>
      <c r="I3" s="712"/>
      <c r="J3" s="712"/>
      <c r="K3" s="712"/>
    </row>
    <row r="4" spans="1:11" ht="108">
      <c r="D4" s="94"/>
      <c r="E4" s="124" t="s">
        <v>590</v>
      </c>
      <c r="F4" s="125" t="s">
        <v>642</v>
      </c>
      <c r="J4" s="53" t="s">
        <v>224</v>
      </c>
    </row>
    <row r="5" spans="1:11" ht="15">
      <c r="D5" s="94">
        <v>2003</v>
      </c>
      <c r="E5" s="94" t="s">
        <v>452</v>
      </c>
      <c r="F5" s="126" t="s">
        <v>453</v>
      </c>
    </row>
    <row r="6" spans="1:11">
      <c r="D6" s="94">
        <v>2004</v>
      </c>
      <c r="E6" s="94">
        <v>4.82</v>
      </c>
      <c r="F6" s="94">
        <v>0.11</v>
      </c>
    </row>
    <row r="7" spans="1:11">
      <c r="D7" s="94">
        <v>2006</v>
      </c>
      <c r="E7" s="94">
        <v>6.11</v>
      </c>
      <c r="F7" s="94">
        <v>0.17</v>
      </c>
    </row>
    <row r="8" spans="1:11">
      <c r="D8" s="94">
        <v>2007</v>
      </c>
      <c r="E8" s="94">
        <v>6.87</v>
      </c>
      <c r="F8" s="94">
        <v>0.15</v>
      </c>
    </row>
    <row r="9" spans="1:11">
      <c r="D9" s="94">
        <v>2009</v>
      </c>
      <c r="E9" s="55">
        <v>7</v>
      </c>
      <c r="F9" s="94">
        <v>0.16</v>
      </c>
    </row>
    <row r="10" spans="1:11">
      <c r="D10" s="94">
        <v>2010</v>
      </c>
      <c r="E10" s="55">
        <v>5.24</v>
      </c>
      <c r="F10" s="94">
        <v>0.19</v>
      </c>
    </row>
    <row r="11" spans="1:11">
      <c r="D11" s="94">
        <v>2011</v>
      </c>
      <c r="E11" s="94">
        <v>5.32</v>
      </c>
      <c r="F11" s="94">
        <v>0.19</v>
      </c>
      <c r="G11" s="56"/>
    </row>
    <row r="12" spans="1:11">
      <c r="D12" s="94">
        <v>2012</v>
      </c>
      <c r="E12" s="94">
        <v>5.44</v>
      </c>
      <c r="F12" s="94">
        <v>0.17</v>
      </c>
    </row>
    <row r="13" spans="1:11">
      <c r="D13" s="94">
        <v>2013</v>
      </c>
      <c r="E13" s="94">
        <v>6.01</v>
      </c>
      <c r="F13" s="55">
        <v>0.2</v>
      </c>
    </row>
    <row r="14" spans="1:11">
      <c r="D14" s="94">
        <v>2014</v>
      </c>
      <c r="E14" s="55">
        <v>6</v>
      </c>
      <c r="F14" s="301">
        <v>0.15</v>
      </c>
    </row>
    <row r="15" spans="1:11">
      <c r="D15" s="94">
        <v>2015</v>
      </c>
      <c r="E15" s="94">
        <v>7.24</v>
      </c>
      <c r="F15" s="301">
        <v>0.17</v>
      </c>
    </row>
    <row r="16" spans="1:11">
      <c r="D16" s="94"/>
      <c r="E16" s="94"/>
      <c r="F16" s="94"/>
    </row>
    <row r="17" spans="4:6">
      <c r="D17" s="94"/>
      <c r="E17" s="94"/>
      <c r="F17" s="94"/>
    </row>
    <row r="18" spans="4:6">
      <c r="D18" s="94"/>
      <c r="E18" s="94"/>
      <c r="F18" s="94"/>
    </row>
    <row r="19" spans="4:6">
      <c r="D19" s="94"/>
      <c r="E19" s="94"/>
      <c r="F19" s="94"/>
    </row>
    <row r="20" spans="4:6">
      <c r="D20" s="94"/>
      <c r="E20" s="94"/>
      <c r="F20" s="94"/>
    </row>
    <row r="21" spans="4:6">
      <c r="D21" s="94"/>
      <c r="E21" s="94"/>
      <c r="F21" s="94"/>
    </row>
    <row r="22" spans="4:6">
      <c r="D22" s="94"/>
      <c r="E22" s="94"/>
      <c r="F22" s="94"/>
    </row>
    <row r="23" spans="4:6">
      <c r="D23" s="94"/>
      <c r="E23" s="94"/>
      <c r="F23" s="94"/>
    </row>
    <row r="24" spans="4:6">
      <c r="D24" s="94"/>
      <c r="E24" s="94"/>
      <c r="F24" s="94"/>
    </row>
    <row r="25" spans="4:6">
      <c r="D25" s="94"/>
      <c r="E25" s="94"/>
      <c r="F25" s="94"/>
    </row>
    <row r="26" spans="4:6">
      <c r="D26" s="94"/>
      <c r="E26" s="94"/>
      <c r="F26" s="94"/>
    </row>
    <row r="27" spans="4:6">
      <c r="D27" s="94"/>
      <c r="E27" s="94"/>
      <c r="F27" s="94"/>
    </row>
    <row r="28" spans="4:6">
      <c r="D28" s="94"/>
      <c r="E28" s="94"/>
      <c r="F28" s="94"/>
    </row>
    <row r="29" spans="4:6">
      <c r="D29" s="94"/>
      <c r="E29" s="94"/>
      <c r="F29" s="94"/>
    </row>
    <row r="30" spans="4:6">
      <c r="D30" s="94"/>
      <c r="E30" s="94"/>
      <c r="F30" s="94"/>
    </row>
    <row r="31" spans="4:6">
      <c r="D31" s="94"/>
      <c r="E31" s="94"/>
      <c r="F31" s="94"/>
    </row>
    <row r="32" spans="4:6">
      <c r="D32" s="94"/>
      <c r="E32" s="94"/>
      <c r="F32" s="94"/>
    </row>
    <row r="33" spans="4:6">
      <c r="D33" s="94"/>
      <c r="E33" s="94"/>
      <c r="F33" s="94"/>
    </row>
    <row r="34" spans="4:6">
      <c r="D34" s="94"/>
      <c r="E34" s="94"/>
      <c r="F34" s="94"/>
    </row>
    <row r="35" spans="4:6">
      <c r="D35" s="94"/>
      <c r="E35" s="94"/>
      <c r="F35" s="94"/>
    </row>
    <row r="36" spans="4:6">
      <c r="D36" s="94"/>
      <c r="E36" s="94"/>
      <c r="F36" s="94"/>
    </row>
    <row r="37" spans="4:6">
      <c r="D37" s="94"/>
      <c r="E37" s="94"/>
      <c r="F37" s="94"/>
    </row>
    <row r="38" spans="4:6">
      <c r="D38" s="94"/>
      <c r="E38" s="94"/>
      <c r="F38" s="94"/>
    </row>
    <row r="39" spans="4:6">
      <c r="D39" s="94"/>
      <c r="E39" s="94"/>
      <c r="F39" s="94"/>
    </row>
    <row r="40" spans="4:6">
      <c r="D40" s="94"/>
      <c r="E40" s="94"/>
      <c r="F40" s="94"/>
    </row>
  </sheetData>
  <mergeCells count="1">
    <mergeCell ref="A3:K3"/>
  </mergeCells>
  <hyperlinks>
    <hyperlink ref="A1" location="turinys!A1" display="Grįžti į turinį"/>
  </hyperlinks>
  <pageMargins left="0.75" right="0.75" top="1" bottom="1" header="0.5" footer="0.5"/>
  <pageSetup paperSize="9" orientation="portrait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73"/>
  <sheetViews>
    <sheetView workbookViewId="0">
      <selection activeCell="G27" sqref="G27"/>
    </sheetView>
  </sheetViews>
  <sheetFormatPr defaultRowHeight="12.75"/>
  <cols>
    <col min="1" max="1" width="9.28515625" style="304" customWidth="1"/>
    <col min="2" max="2" width="12.85546875" style="305" customWidth="1"/>
    <col min="3" max="3" width="13.7109375" style="305" customWidth="1"/>
    <col min="4" max="4" width="11.7109375" style="306" customWidth="1"/>
    <col min="5" max="5" width="12" style="307" customWidth="1"/>
    <col min="6" max="6" width="12.28515625" style="308" customWidth="1"/>
    <col min="7" max="16384" width="9.140625" style="308"/>
  </cols>
  <sheetData>
    <row r="1" spans="1:5" s="27" customFormat="1" ht="18" customHeight="1">
      <c r="A1" s="23" t="s">
        <v>225</v>
      </c>
    </row>
    <row r="3" spans="1:5" s="303" customFormat="1" ht="30.75" customHeight="1">
      <c r="A3" s="719" t="s">
        <v>454</v>
      </c>
      <c r="B3" s="719"/>
      <c r="C3" s="719"/>
      <c r="D3" s="719"/>
      <c r="E3" s="720"/>
    </row>
    <row r="4" spans="1:5" ht="16.5" customHeight="1"/>
    <row r="5" spans="1:5" ht="15.75" customHeight="1">
      <c r="A5" s="714" t="s">
        <v>455</v>
      </c>
      <c r="B5" s="309" t="s">
        <v>331</v>
      </c>
      <c r="C5" s="310"/>
      <c r="D5" s="310"/>
      <c r="E5" s="311">
        <v>8.5069999999999997</v>
      </c>
    </row>
    <row r="6" spans="1:5" ht="15.75" customHeight="1">
      <c r="A6" s="715"/>
      <c r="B6" s="312" t="s">
        <v>456</v>
      </c>
      <c r="C6" s="313"/>
      <c r="D6" s="313"/>
      <c r="E6" s="314">
        <v>9.5000000000000001E-2</v>
      </c>
    </row>
    <row r="7" spans="1:5" ht="15.75" customHeight="1">
      <c r="A7" s="715"/>
      <c r="B7" s="312" t="s">
        <v>332</v>
      </c>
      <c r="C7" s="313"/>
      <c r="D7" s="313"/>
      <c r="E7" s="315">
        <v>19204.723999999998</v>
      </c>
    </row>
    <row r="8" spans="1:5" ht="15.75" customHeight="1">
      <c r="A8" s="715"/>
      <c r="B8" s="312" t="s">
        <v>333</v>
      </c>
      <c r="C8" s="313"/>
      <c r="D8" s="313"/>
      <c r="E8" s="314">
        <v>0.3</v>
      </c>
    </row>
    <row r="9" spans="1:5" ht="15.75" customHeight="1">
      <c r="A9" s="715"/>
      <c r="B9" s="312" t="s">
        <v>334</v>
      </c>
      <c r="C9" s="313"/>
      <c r="D9" s="313"/>
      <c r="E9" s="315">
        <v>28029.367999999999</v>
      </c>
    </row>
    <row r="10" spans="1:5" ht="15.75" customHeight="1">
      <c r="A10" s="715"/>
      <c r="B10" s="312" t="s">
        <v>335</v>
      </c>
      <c r="C10" s="313"/>
      <c r="D10" s="313"/>
      <c r="E10" s="315">
        <v>484.15800000000002</v>
      </c>
    </row>
    <row r="11" spans="1:5" ht="15.75" customHeight="1">
      <c r="A11" s="715"/>
      <c r="B11" s="316" t="s">
        <v>336</v>
      </c>
      <c r="C11" s="317"/>
      <c r="D11" s="317"/>
      <c r="E11" s="318">
        <v>147277.83300000001</v>
      </c>
    </row>
    <row r="12" spans="1:5" ht="15.75" customHeight="1">
      <c r="A12" s="721"/>
      <c r="B12" s="319" t="s">
        <v>56</v>
      </c>
      <c r="C12" s="320"/>
      <c r="D12" s="320"/>
      <c r="E12" s="321">
        <f>SUM(E5:E11)</f>
        <v>195004.98500000002</v>
      </c>
    </row>
    <row r="13" spans="1:5" ht="15.75" customHeight="1">
      <c r="A13" s="714" t="s">
        <v>329</v>
      </c>
      <c r="B13" s="309" t="s">
        <v>331</v>
      </c>
      <c r="C13" s="322"/>
      <c r="D13" s="322"/>
      <c r="E13" s="323">
        <v>21</v>
      </c>
    </row>
    <row r="14" spans="1:5" ht="15.75" customHeight="1">
      <c r="A14" s="715"/>
      <c r="B14" s="312" t="s">
        <v>456</v>
      </c>
      <c r="C14" s="324"/>
      <c r="D14" s="324"/>
      <c r="E14" s="315">
        <v>2</v>
      </c>
    </row>
    <row r="15" spans="1:5" ht="15.75" customHeight="1">
      <c r="A15" s="715"/>
      <c r="B15" s="312" t="s">
        <v>332</v>
      </c>
      <c r="C15" s="324"/>
      <c r="D15" s="324"/>
      <c r="E15" s="315">
        <v>133348</v>
      </c>
    </row>
    <row r="16" spans="1:5" ht="15.75" customHeight="1">
      <c r="A16" s="715"/>
      <c r="B16" s="312" t="s">
        <v>333</v>
      </c>
      <c r="C16" s="324"/>
      <c r="D16" s="324"/>
      <c r="E16" s="315">
        <v>2.0032519502668404</v>
      </c>
    </row>
    <row r="17" spans="1:5" ht="15.75" customHeight="1">
      <c r="A17" s="715"/>
      <c r="B17" s="312" t="s">
        <v>334</v>
      </c>
      <c r="C17" s="324"/>
      <c r="D17" s="324"/>
      <c r="E17" s="315">
        <v>59797</v>
      </c>
    </row>
    <row r="18" spans="1:5" ht="15.75" customHeight="1">
      <c r="A18" s="715"/>
      <c r="B18" s="312" t="s">
        <v>335</v>
      </c>
      <c r="C18" s="324"/>
      <c r="D18" s="324"/>
      <c r="E18" s="315">
        <v>959</v>
      </c>
    </row>
    <row r="19" spans="1:5" ht="15.75" customHeight="1">
      <c r="A19" s="715"/>
      <c r="B19" s="316" t="s">
        <v>336</v>
      </c>
      <c r="C19" s="325"/>
      <c r="D19" s="325"/>
      <c r="E19" s="318">
        <v>525470</v>
      </c>
    </row>
    <row r="20" spans="1:5" ht="15.75" customHeight="1">
      <c r="A20" s="716"/>
      <c r="B20" s="326" t="s">
        <v>56</v>
      </c>
      <c r="C20" s="327"/>
      <c r="D20" s="327"/>
      <c r="E20" s="321">
        <f>SUM(E13:E19)</f>
        <v>719599.00325195026</v>
      </c>
    </row>
    <row r="21" spans="1:5" ht="15.75" customHeight="1">
      <c r="A21" s="714" t="s">
        <v>337</v>
      </c>
      <c r="B21" s="328" t="s">
        <v>331</v>
      </c>
      <c r="C21" s="329"/>
      <c r="D21" s="329"/>
      <c r="E21" s="330">
        <v>546</v>
      </c>
    </row>
    <row r="22" spans="1:5" ht="15.75" customHeight="1">
      <c r="A22" s="715"/>
      <c r="B22" s="331" t="s">
        <v>456</v>
      </c>
      <c r="C22" s="332"/>
      <c r="D22" s="332"/>
      <c r="E22" s="333">
        <v>4</v>
      </c>
    </row>
    <row r="23" spans="1:5" ht="15.75" customHeight="1">
      <c r="A23" s="715"/>
      <c r="B23" s="331" t="s">
        <v>332</v>
      </c>
      <c r="C23" s="332"/>
      <c r="D23" s="332"/>
      <c r="E23" s="333">
        <v>792487</v>
      </c>
    </row>
    <row r="24" spans="1:5" ht="15.75" customHeight="1">
      <c r="A24" s="715"/>
      <c r="B24" s="331" t="s">
        <v>333</v>
      </c>
      <c r="C24" s="332"/>
      <c r="D24" s="332"/>
      <c r="E24" s="333">
        <v>29</v>
      </c>
    </row>
    <row r="25" spans="1:5" ht="15.75" customHeight="1">
      <c r="A25" s="715"/>
      <c r="B25" s="331" t="s">
        <v>334</v>
      </c>
      <c r="C25" s="324"/>
      <c r="D25" s="324"/>
      <c r="E25" s="333">
        <v>1381453</v>
      </c>
    </row>
    <row r="26" spans="1:5" ht="15.75" customHeight="1">
      <c r="A26" s="715"/>
      <c r="B26" s="331" t="s">
        <v>335</v>
      </c>
      <c r="C26" s="324"/>
      <c r="D26" s="324"/>
      <c r="E26" s="333">
        <v>26093</v>
      </c>
    </row>
    <row r="27" spans="1:5" ht="15.75" customHeight="1">
      <c r="A27" s="715"/>
      <c r="B27" s="331" t="s">
        <v>336</v>
      </c>
      <c r="C27" s="334"/>
      <c r="D27" s="334"/>
      <c r="E27" s="333">
        <v>7120348</v>
      </c>
    </row>
    <row r="28" spans="1:5" ht="15.75" customHeight="1">
      <c r="A28" s="716"/>
      <c r="B28" s="335" t="s">
        <v>56</v>
      </c>
      <c r="C28" s="336"/>
      <c r="D28" s="336"/>
      <c r="E28" s="337">
        <f>SUM(E21:E27)</f>
        <v>9320960</v>
      </c>
    </row>
    <row r="29" spans="1:5" s="340" customFormat="1" ht="15.75" customHeight="1">
      <c r="A29" s="714" t="s">
        <v>338</v>
      </c>
      <c r="B29" s="312" t="s">
        <v>331</v>
      </c>
      <c r="C29" s="338"/>
      <c r="D29" s="338"/>
      <c r="E29" s="339">
        <f t="shared" ref="E29:E36" si="0">E21/1288000</f>
        <v>4.2391304347826086E-4</v>
      </c>
    </row>
    <row r="30" spans="1:5" s="340" customFormat="1" ht="15.75" customHeight="1">
      <c r="A30" s="715"/>
      <c r="B30" s="331" t="s">
        <v>456</v>
      </c>
      <c r="C30" s="338"/>
      <c r="D30" s="338"/>
      <c r="E30" s="341">
        <f t="shared" si="0"/>
        <v>3.1055900621118013E-6</v>
      </c>
    </row>
    <row r="31" spans="1:5" s="340" customFormat="1" ht="15.75" customHeight="1">
      <c r="A31" s="715"/>
      <c r="B31" s="312" t="s">
        <v>332</v>
      </c>
      <c r="C31" s="338"/>
      <c r="D31" s="338"/>
      <c r="E31" s="341">
        <f t="shared" si="0"/>
        <v>0.61528493788819871</v>
      </c>
    </row>
    <row r="32" spans="1:5" s="340" customFormat="1" ht="15.75" customHeight="1">
      <c r="A32" s="715"/>
      <c r="B32" s="312" t="s">
        <v>333</v>
      </c>
      <c r="C32" s="338"/>
      <c r="D32" s="338"/>
      <c r="E32" s="341">
        <f t="shared" si="0"/>
        <v>2.2515527950310558E-5</v>
      </c>
    </row>
    <row r="33" spans="1:5" s="340" customFormat="1" ht="15.75" customHeight="1">
      <c r="A33" s="715"/>
      <c r="B33" s="312" t="s">
        <v>334</v>
      </c>
      <c r="C33" s="338"/>
      <c r="D33" s="338"/>
      <c r="E33" s="341">
        <f t="shared" si="0"/>
        <v>1.0725566770186334</v>
      </c>
    </row>
    <row r="34" spans="1:5" s="340" customFormat="1" ht="15.75" customHeight="1">
      <c r="A34" s="715"/>
      <c r="B34" s="312" t="s">
        <v>335</v>
      </c>
      <c r="C34" s="338"/>
      <c r="D34" s="338"/>
      <c r="E34" s="341">
        <f t="shared" si="0"/>
        <v>2.0258540372670806E-2</v>
      </c>
    </row>
    <row r="35" spans="1:5" s="340" customFormat="1" ht="15.75" customHeight="1">
      <c r="A35" s="715"/>
      <c r="B35" s="316" t="s">
        <v>336</v>
      </c>
      <c r="C35" s="342"/>
      <c r="D35" s="342"/>
      <c r="E35" s="343">
        <f t="shared" si="0"/>
        <v>5.5282204968944102</v>
      </c>
    </row>
    <row r="36" spans="1:5" s="340" customFormat="1" ht="15.75" customHeight="1">
      <c r="A36" s="716"/>
      <c r="B36" s="722" t="s">
        <v>56</v>
      </c>
      <c r="C36" s="713"/>
      <c r="D36" s="713"/>
      <c r="E36" s="344">
        <f t="shared" si="0"/>
        <v>7.2367701863354039</v>
      </c>
    </row>
    <row r="37" spans="1:5" ht="15.75" customHeight="1">
      <c r="A37" s="714" t="s">
        <v>339</v>
      </c>
      <c r="B37" s="309" t="s">
        <v>331</v>
      </c>
      <c r="C37" s="345"/>
      <c r="D37" s="345"/>
      <c r="E37" s="346">
        <f t="shared" ref="E37:E44" si="1">E21/E13</f>
        <v>26</v>
      </c>
    </row>
    <row r="38" spans="1:5" ht="15.75" customHeight="1">
      <c r="A38" s="715"/>
      <c r="B38" s="331" t="s">
        <v>456</v>
      </c>
      <c r="C38" s="338"/>
      <c r="D38" s="338"/>
      <c r="E38" s="347">
        <f t="shared" si="1"/>
        <v>2</v>
      </c>
    </row>
    <row r="39" spans="1:5" ht="15.75" customHeight="1">
      <c r="A39" s="715"/>
      <c r="B39" s="312" t="s">
        <v>332</v>
      </c>
      <c r="C39" s="338"/>
      <c r="D39" s="338"/>
      <c r="E39" s="347">
        <f t="shared" si="1"/>
        <v>5.9429987701352855</v>
      </c>
    </row>
    <row r="40" spans="1:5" ht="15.75" customHeight="1">
      <c r="A40" s="715"/>
      <c r="B40" s="312" t="s">
        <v>333</v>
      </c>
      <c r="C40" s="338"/>
      <c r="D40" s="338"/>
      <c r="E40" s="347">
        <f t="shared" si="1"/>
        <v>14.476461633364238</v>
      </c>
    </row>
    <row r="41" spans="1:5" ht="15.75" customHeight="1">
      <c r="A41" s="715"/>
      <c r="B41" s="312" t="s">
        <v>334</v>
      </c>
      <c r="C41" s="338"/>
      <c r="D41" s="338"/>
      <c r="E41" s="347">
        <f t="shared" si="1"/>
        <v>23.102379718046056</v>
      </c>
    </row>
    <row r="42" spans="1:5" ht="15.75" customHeight="1">
      <c r="A42" s="715"/>
      <c r="B42" s="312" t="s">
        <v>335</v>
      </c>
      <c r="C42" s="338"/>
      <c r="D42" s="338"/>
      <c r="E42" s="347">
        <f t="shared" si="1"/>
        <v>27.208550573514078</v>
      </c>
    </row>
    <row r="43" spans="1:5" ht="15.75" customHeight="1">
      <c r="A43" s="715"/>
      <c r="B43" s="316" t="s">
        <v>336</v>
      </c>
      <c r="C43" s="342"/>
      <c r="D43" s="342"/>
      <c r="E43" s="348">
        <f t="shared" si="1"/>
        <v>13.550436751860239</v>
      </c>
    </row>
    <row r="44" spans="1:5" s="340" customFormat="1" ht="15.75" customHeight="1">
      <c r="A44" s="716"/>
      <c r="B44" s="713" t="s">
        <v>56</v>
      </c>
      <c r="C44" s="713"/>
      <c r="D44" s="713"/>
      <c r="E44" s="349">
        <f t="shared" si="1"/>
        <v>12.952991816105241</v>
      </c>
    </row>
    <row r="45" spans="1:5" s="340" customFormat="1" ht="15.75" customHeight="1">
      <c r="A45" s="714" t="s">
        <v>457</v>
      </c>
      <c r="B45" s="309" t="s">
        <v>331</v>
      </c>
      <c r="C45" s="345"/>
      <c r="D45" s="345"/>
      <c r="E45" s="346">
        <f t="shared" ref="E45:E52" si="2">E5*1000/E21</f>
        <v>15.58058608058608</v>
      </c>
    </row>
    <row r="46" spans="1:5" s="340" customFormat="1" ht="15.75" customHeight="1">
      <c r="A46" s="715"/>
      <c r="B46" s="331" t="s">
        <v>456</v>
      </c>
      <c r="C46" s="338"/>
      <c r="D46" s="338"/>
      <c r="E46" s="347">
        <f t="shared" si="2"/>
        <v>23.75</v>
      </c>
    </row>
    <row r="47" spans="1:5" s="340" customFormat="1" ht="15.75" customHeight="1">
      <c r="A47" s="715"/>
      <c r="B47" s="312" t="s">
        <v>332</v>
      </c>
      <c r="C47" s="338"/>
      <c r="D47" s="338"/>
      <c r="E47" s="347">
        <f t="shared" si="2"/>
        <v>24.233487741754754</v>
      </c>
    </row>
    <row r="48" spans="1:5" s="340" customFormat="1" ht="15.75" customHeight="1">
      <c r="A48" s="715"/>
      <c r="B48" s="312" t="s">
        <v>333</v>
      </c>
      <c r="C48" s="338"/>
      <c r="D48" s="338"/>
      <c r="E48" s="347">
        <f t="shared" si="2"/>
        <v>10.344827586206897</v>
      </c>
    </row>
    <row r="49" spans="1:5" s="340" customFormat="1" ht="15.75" customHeight="1">
      <c r="A49" s="715"/>
      <c r="B49" s="312" t="s">
        <v>334</v>
      </c>
      <c r="C49" s="338"/>
      <c r="D49" s="338"/>
      <c r="E49" s="347">
        <f t="shared" si="2"/>
        <v>20.289773159130277</v>
      </c>
    </row>
    <row r="50" spans="1:5" s="340" customFormat="1" ht="15.75" customHeight="1">
      <c r="A50" s="715"/>
      <c r="B50" s="312" t="s">
        <v>335</v>
      </c>
      <c r="C50" s="338"/>
      <c r="D50" s="338"/>
      <c r="E50" s="347">
        <f t="shared" si="2"/>
        <v>18.555091403824779</v>
      </c>
    </row>
    <row r="51" spans="1:5" s="340" customFormat="1" ht="15.75" customHeight="1">
      <c r="A51" s="715"/>
      <c r="B51" s="316" t="s">
        <v>336</v>
      </c>
      <c r="C51" s="342"/>
      <c r="D51" s="342"/>
      <c r="E51" s="348">
        <f t="shared" si="2"/>
        <v>20.684077941134337</v>
      </c>
    </row>
    <row r="52" spans="1:5" s="340" customFormat="1" ht="15.75" customHeight="1">
      <c r="A52" s="716"/>
      <c r="B52" s="717" t="s">
        <v>56</v>
      </c>
      <c r="C52" s="718"/>
      <c r="D52" s="718"/>
      <c r="E52" s="350">
        <f t="shared" si="2"/>
        <v>20.921126686521564</v>
      </c>
    </row>
    <row r="53" spans="1:5" s="340" customFormat="1">
      <c r="A53" s="304"/>
      <c r="B53" s="306"/>
      <c r="C53" s="306"/>
      <c r="D53" s="306"/>
      <c r="E53" s="351"/>
    </row>
    <row r="54" spans="1:5" s="340" customFormat="1">
      <c r="A54" s="304"/>
      <c r="B54" s="306"/>
      <c r="C54" s="306"/>
      <c r="D54" s="306"/>
      <c r="E54" s="351"/>
    </row>
    <row r="55" spans="1:5" s="340" customFormat="1">
      <c r="A55" s="304"/>
      <c r="B55" s="306"/>
      <c r="C55" s="306"/>
      <c r="D55" s="306"/>
      <c r="E55" s="351"/>
    </row>
    <row r="56" spans="1:5" s="340" customFormat="1">
      <c r="A56" s="304"/>
      <c r="B56" s="306"/>
      <c r="C56" s="306"/>
      <c r="D56" s="306"/>
      <c r="E56" s="351"/>
    </row>
    <row r="57" spans="1:5" s="340" customFormat="1">
      <c r="A57" s="304"/>
      <c r="B57" s="306"/>
      <c r="C57" s="306"/>
      <c r="D57" s="306"/>
      <c r="E57" s="351"/>
    </row>
    <row r="58" spans="1:5" s="340" customFormat="1">
      <c r="A58" s="304"/>
      <c r="B58" s="306"/>
      <c r="C58" s="306"/>
      <c r="D58" s="306"/>
      <c r="E58" s="351"/>
    </row>
    <row r="59" spans="1:5" s="340" customFormat="1">
      <c r="A59" s="304"/>
      <c r="B59" s="306"/>
      <c r="C59" s="306"/>
      <c r="D59" s="306"/>
      <c r="E59" s="351"/>
    </row>
    <row r="60" spans="1:5" s="340" customFormat="1">
      <c r="A60" s="304"/>
      <c r="B60" s="306"/>
      <c r="C60" s="306"/>
      <c r="D60" s="306"/>
      <c r="E60" s="351"/>
    </row>
    <row r="61" spans="1:5" s="340" customFormat="1">
      <c r="A61" s="304"/>
      <c r="B61" s="306"/>
      <c r="C61" s="306"/>
      <c r="D61" s="306"/>
      <c r="E61" s="351"/>
    </row>
    <row r="62" spans="1:5" s="340" customFormat="1">
      <c r="A62" s="304"/>
      <c r="B62" s="306"/>
      <c r="C62" s="306"/>
      <c r="D62" s="306"/>
      <c r="E62" s="351"/>
    </row>
    <row r="63" spans="1:5" s="340" customFormat="1">
      <c r="A63" s="304"/>
      <c r="B63" s="306"/>
      <c r="C63" s="306"/>
      <c r="D63" s="306"/>
      <c r="E63" s="351"/>
    </row>
    <row r="64" spans="1:5" s="340" customFormat="1">
      <c r="A64" s="304"/>
      <c r="B64" s="306"/>
      <c r="C64" s="306"/>
      <c r="D64" s="306"/>
      <c r="E64" s="351"/>
    </row>
    <row r="65" spans="1:5" s="340" customFormat="1">
      <c r="A65" s="304"/>
      <c r="B65" s="306"/>
      <c r="C65" s="306"/>
      <c r="D65" s="306"/>
      <c r="E65" s="351"/>
    </row>
    <row r="66" spans="1:5" s="340" customFormat="1">
      <c r="A66" s="304"/>
      <c r="B66" s="306"/>
      <c r="C66" s="306"/>
      <c r="D66" s="306"/>
      <c r="E66" s="351"/>
    </row>
    <row r="67" spans="1:5" s="340" customFormat="1">
      <c r="A67" s="304"/>
      <c r="B67" s="306"/>
      <c r="C67" s="306"/>
      <c r="D67" s="306"/>
      <c r="E67" s="351"/>
    </row>
    <row r="68" spans="1:5" s="340" customFormat="1">
      <c r="A68" s="304"/>
      <c r="B68" s="306"/>
      <c r="C68" s="306"/>
      <c r="D68" s="306"/>
      <c r="E68" s="351"/>
    </row>
    <row r="69" spans="1:5" s="340" customFormat="1">
      <c r="A69" s="304"/>
      <c r="B69" s="306"/>
      <c r="C69" s="306"/>
      <c r="D69" s="306"/>
      <c r="E69" s="351"/>
    </row>
    <row r="70" spans="1:5" s="340" customFormat="1">
      <c r="A70" s="304"/>
      <c r="B70" s="306"/>
      <c r="C70" s="306"/>
      <c r="D70" s="306"/>
      <c r="E70" s="351"/>
    </row>
    <row r="71" spans="1:5" s="340" customFormat="1">
      <c r="A71" s="304"/>
      <c r="B71" s="306"/>
      <c r="C71" s="306"/>
      <c r="D71" s="306"/>
      <c r="E71" s="351"/>
    </row>
    <row r="72" spans="1:5" s="340" customFormat="1">
      <c r="A72" s="304"/>
      <c r="B72" s="306"/>
      <c r="C72" s="306"/>
      <c r="D72" s="306"/>
      <c r="E72" s="351"/>
    </row>
    <row r="73" spans="1:5" s="340" customFormat="1">
      <c r="A73" s="304"/>
      <c r="B73" s="306"/>
      <c r="C73" s="306"/>
      <c r="D73" s="306"/>
      <c r="E73" s="351"/>
    </row>
  </sheetData>
  <mergeCells count="10">
    <mergeCell ref="B44:D44"/>
    <mergeCell ref="A45:A52"/>
    <mergeCell ref="B52:D52"/>
    <mergeCell ref="A3:E3"/>
    <mergeCell ref="A5:A12"/>
    <mergeCell ref="A13:A20"/>
    <mergeCell ref="A21:A28"/>
    <mergeCell ref="A29:A36"/>
    <mergeCell ref="B36:D36"/>
    <mergeCell ref="A37:A44"/>
  </mergeCells>
  <hyperlinks>
    <hyperlink ref="A1" location="turinys!A1" display="Grįžti į turinį"/>
  </hyperlinks>
  <pageMargins left="0.62992125984251968" right="0.23622047244094491" top="0.94488188976377963" bottom="0.74803149606299213" header="0.31496062992125984" footer="0.31496062992125984"/>
  <pageSetup paperSize="9" scale="85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14"/>
  <sheetViews>
    <sheetView workbookViewId="0"/>
  </sheetViews>
  <sheetFormatPr defaultRowHeight="12.75"/>
  <cols>
    <col min="1" max="16384" width="9.140625" style="57"/>
  </cols>
  <sheetData>
    <row r="1" spans="1:10" s="27" customFormat="1" ht="18" customHeight="1">
      <c r="A1" s="23" t="s">
        <v>225</v>
      </c>
    </row>
    <row r="3" spans="1:10">
      <c r="B3" s="57">
        <v>2010</v>
      </c>
      <c r="C3" s="57">
        <v>2011</v>
      </c>
      <c r="D3" s="57">
        <v>2012</v>
      </c>
      <c r="E3" s="57">
        <v>2013</v>
      </c>
      <c r="F3" s="57">
        <v>2014</v>
      </c>
      <c r="G3" s="57">
        <v>2015</v>
      </c>
    </row>
    <row r="4" spans="1:10">
      <c r="A4" s="58" t="s">
        <v>340</v>
      </c>
      <c r="B4" s="59">
        <f>ROUND(12205.72646,1)</f>
        <v>12205.7</v>
      </c>
      <c r="C4" s="59">
        <f>ROUND(14289.1752,1)</f>
        <v>14289.2</v>
      </c>
      <c r="D4" s="59">
        <f>ROUND(13937.65809,1)</f>
        <v>13937.7</v>
      </c>
      <c r="E4" s="59">
        <f>ROUND(18942.70402,1)</f>
        <v>18942.7</v>
      </c>
      <c r="F4" s="59">
        <f>ROUND(18176.36429,1)</f>
        <v>18176.400000000001</v>
      </c>
      <c r="G4" s="59">
        <f>ROUND(31415.30254,1)</f>
        <v>31415.3</v>
      </c>
    </row>
    <row r="7" spans="1:10" ht="18.75">
      <c r="A7" s="127"/>
    </row>
    <row r="14" spans="1:10">
      <c r="C14" s="59"/>
      <c r="D14" s="59"/>
      <c r="E14" s="59"/>
      <c r="F14" s="59"/>
      <c r="G14" s="59"/>
      <c r="H14" s="59"/>
      <c r="J14" s="59"/>
    </row>
  </sheetData>
  <hyperlinks>
    <hyperlink ref="A1" location="turinys!A1" display="Grįžti į turinį"/>
  </hyperlinks>
  <pageMargins left="0.75" right="0.75" top="1" bottom="1" header="0.5" footer="0.5"/>
  <pageSetup paperSize="9" scale="95" orientation="portrait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42"/>
  <sheetViews>
    <sheetView workbookViewId="0">
      <selection activeCell="I39" sqref="I39"/>
    </sheetView>
  </sheetViews>
  <sheetFormatPr defaultRowHeight="15"/>
  <sheetData>
    <row r="1" spans="1:6" s="27" customFormat="1" ht="18" customHeight="1">
      <c r="A1" s="23" t="s">
        <v>225</v>
      </c>
    </row>
    <row r="3" spans="1:6" s="19" customFormat="1" ht="69.75" customHeight="1">
      <c r="B3" s="19" t="s">
        <v>341</v>
      </c>
      <c r="C3" s="128" t="s">
        <v>342</v>
      </c>
      <c r="D3" s="128" t="s">
        <v>343</v>
      </c>
    </row>
    <row r="4" spans="1:6" s="19" customFormat="1" ht="12.75" hidden="1">
      <c r="A4" s="129">
        <v>2003</v>
      </c>
      <c r="B4" s="130">
        <v>30.5</v>
      </c>
      <c r="C4" s="129">
        <v>21.6</v>
      </c>
      <c r="D4" s="131">
        <f t="shared" ref="D4:D5" si="0">C4/B4*100</f>
        <v>70.819672131147541</v>
      </c>
    </row>
    <row r="5" spans="1:6" s="19" customFormat="1" ht="12.75" hidden="1">
      <c r="A5" s="132">
        <v>2004</v>
      </c>
      <c r="B5" s="132">
        <v>30.4</v>
      </c>
      <c r="C5" s="132">
        <v>19.3</v>
      </c>
      <c r="D5" s="133">
        <f t="shared" si="0"/>
        <v>63.486842105263165</v>
      </c>
    </row>
    <row r="6" spans="1:6" s="19" customFormat="1" ht="12.75">
      <c r="A6" s="134">
        <v>2009</v>
      </c>
      <c r="B6" s="134">
        <v>32.200000000000003</v>
      </c>
      <c r="C6" s="134">
        <v>29.9</v>
      </c>
      <c r="D6" s="135">
        <f>ROUND(C6/B6*100,1)</f>
        <v>92.9</v>
      </c>
    </row>
    <row r="7" spans="1:6" s="19" customFormat="1" ht="14.25" customHeight="1">
      <c r="A7" s="134">
        <v>2010</v>
      </c>
      <c r="B7" s="134">
        <v>30.7</v>
      </c>
      <c r="C7" s="136">
        <v>24.1</v>
      </c>
      <c r="D7" s="135">
        <f t="shared" ref="D7:D12" si="1">ROUND(C7/B7*100,1)</f>
        <v>78.5</v>
      </c>
    </row>
    <row r="8" spans="1:6" s="19" customFormat="1" ht="12.75">
      <c r="A8" s="134">
        <v>2011</v>
      </c>
      <c r="B8" s="134">
        <v>30.3</v>
      </c>
      <c r="C8" s="134">
        <v>20.3</v>
      </c>
      <c r="D8" s="135">
        <f t="shared" si="1"/>
        <v>67</v>
      </c>
      <c r="F8" s="137">
        <v>30.268000000000001</v>
      </c>
    </row>
    <row r="9" spans="1:6" s="19" customFormat="1" ht="12.75">
      <c r="A9" s="134">
        <v>2012</v>
      </c>
      <c r="B9" s="134">
        <v>30.5</v>
      </c>
      <c r="C9" s="134">
        <v>19.399999999999999</v>
      </c>
      <c r="D9" s="135">
        <f t="shared" si="1"/>
        <v>63.6</v>
      </c>
      <c r="F9" s="137">
        <v>30.459</v>
      </c>
    </row>
    <row r="10" spans="1:6" s="138" customFormat="1" ht="12.75">
      <c r="A10" s="134">
        <v>2013</v>
      </c>
      <c r="B10" s="134">
        <v>29.9</v>
      </c>
      <c r="C10" s="135">
        <v>19</v>
      </c>
      <c r="D10" s="135">
        <f t="shared" si="1"/>
        <v>63.5</v>
      </c>
      <c r="F10" s="137">
        <v>29.885000000000002</v>
      </c>
    </row>
    <row r="11" spans="1:6" s="19" customFormat="1" ht="12.75" customHeight="1">
      <c r="A11" s="134">
        <v>2014</v>
      </c>
      <c r="B11" s="139">
        <f>ROUND(30.369,1)</f>
        <v>30.4</v>
      </c>
      <c r="C11" s="137">
        <v>20</v>
      </c>
      <c r="D11" s="135">
        <f t="shared" si="1"/>
        <v>65.8</v>
      </c>
      <c r="F11" s="140">
        <v>30.369</v>
      </c>
    </row>
    <row r="12" spans="1:6" s="19" customFormat="1" ht="12.75">
      <c r="A12" s="139">
        <v>2015</v>
      </c>
      <c r="B12" s="139">
        <f>ROUND(31.475,1)</f>
        <v>31.5</v>
      </c>
      <c r="C12" s="137">
        <v>21.603999999999999</v>
      </c>
      <c r="D12" s="135">
        <f t="shared" si="1"/>
        <v>68.599999999999994</v>
      </c>
      <c r="F12" s="140">
        <v>31.475000000000001</v>
      </c>
    </row>
    <row r="13" spans="1:6" s="19" customFormat="1" ht="12.75"/>
    <row r="14" spans="1:6" s="19" customFormat="1" ht="12.75"/>
    <row r="15" spans="1:6" s="19" customFormat="1" ht="12.75"/>
    <row r="16" spans="1:6" s="19" customFormat="1" ht="12.75"/>
    <row r="17" s="19" customFormat="1" ht="12.75"/>
    <row r="18" s="19" customFormat="1" ht="12.75"/>
    <row r="19" s="19" customFormat="1" ht="12.75"/>
    <row r="20" s="19" customFormat="1" ht="12.75"/>
    <row r="21" s="19" customFormat="1" ht="12.75"/>
    <row r="22" s="19" customFormat="1" ht="12.75"/>
    <row r="23" s="19" customFormat="1" ht="12.75"/>
    <row r="24" s="19" customFormat="1" ht="12.75"/>
    <row r="25" s="19" customFormat="1" ht="12.75"/>
    <row r="26" s="19" customFormat="1" ht="12.75"/>
    <row r="27" s="19" customFormat="1" ht="12.75"/>
    <row r="28" s="19" customFormat="1" ht="12.75"/>
    <row r="29" s="19" customFormat="1" ht="12.75"/>
    <row r="30" s="19" customFormat="1" ht="12.75"/>
    <row r="31" s="19" customFormat="1" ht="12.75"/>
    <row r="32" s="19" customFormat="1" ht="12.75"/>
    <row r="33" spans="15:15" s="19" customFormat="1" ht="12.75">
      <c r="O33" s="141"/>
    </row>
    <row r="34" spans="15:15" s="19" customFormat="1" ht="12.75"/>
    <row r="35" spans="15:15" s="19" customFormat="1" ht="12.75"/>
    <row r="36" spans="15:15" s="19" customFormat="1" ht="12.75"/>
    <row r="37" spans="15:15" s="19" customFormat="1" ht="12.75"/>
    <row r="38" spans="15:15" s="19" customFormat="1" ht="12.75"/>
    <row r="39" spans="15:15" s="19" customFormat="1" ht="12.75"/>
    <row r="40" spans="15:15" s="19" customFormat="1" ht="12.75"/>
    <row r="41" spans="15:15" s="19" customFormat="1" ht="12.75"/>
    <row r="42" spans="15:15" s="19" customFormat="1" ht="12.75"/>
  </sheetData>
  <hyperlinks>
    <hyperlink ref="A1" location="turinys!A1" display="Grįžti į turinį"/>
  </hyperlink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H5"/>
  <sheetViews>
    <sheetView zoomScaleNormal="100" workbookViewId="0"/>
  </sheetViews>
  <sheetFormatPr defaultColWidth="8.85546875" defaultRowHeight="12.75"/>
  <cols>
    <col min="1" max="16384" width="8.85546875" style="53"/>
  </cols>
  <sheetData>
    <row r="1" spans="1:8" s="27" customFormat="1" ht="18" customHeight="1">
      <c r="A1" s="23" t="s">
        <v>225</v>
      </c>
    </row>
    <row r="4" spans="1:8">
      <c r="B4" s="53">
        <v>2009</v>
      </c>
      <c r="C4" s="53">
        <v>2010</v>
      </c>
      <c r="D4" s="53">
        <v>2011</v>
      </c>
      <c r="E4" s="53">
        <v>2012</v>
      </c>
      <c r="F4" s="53">
        <v>2013</v>
      </c>
      <c r="G4" s="53">
        <v>2014</v>
      </c>
      <c r="H4" s="53">
        <v>2015</v>
      </c>
    </row>
    <row r="5" spans="1:8">
      <c r="A5" s="53" t="s">
        <v>462</v>
      </c>
      <c r="B5" s="53">
        <v>46285</v>
      </c>
      <c r="C5" s="53">
        <v>47741</v>
      </c>
      <c r="D5" s="53">
        <v>43638</v>
      </c>
      <c r="E5" s="53">
        <v>37839</v>
      </c>
      <c r="F5" s="53">
        <v>35614</v>
      </c>
      <c r="G5" s="53">
        <v>36236</v>
      </c>
      <c r="H5" s="53">
        <v>37954</v>
      </c>
    </row>
  </sheetData>
  <hyperlinks>
    <hyperlink ref="A1" location="turinys!A1" display="Grįžti į turinį"/>
  </hyperlinks>
  <pageMargins left="0.25" right="0.25" top="0.75" bottom="0.75" header="0.3" footer="0.3"/>
  <pageSetup paperSize="9" scale="80" orientation="portrait" horizontalDpi="300" verticalDpi="300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Q67"/>
  <sheetViews>
    <sheetView zoomScaleNormal="100" workbookViewId="0">
      <selection activeCell="P31" sqref="P31"/>
    </sheetView>
  </sheetViews>
  <sheetFormatPr defaultRowHeight="12.75"/>
  <cols>
    <col min="1" max="1" width="6.42578125" style="412" customWidth="1"/>
    <col min="2" max="2" width="12.85546875" style="408" customWidth="1"/>
    <col min="3" max="3" width="13.7109375" style="408" customWidth="1"/>
    <col min="4" max="4" width="8.7109375" style="409" customWidth="1"/>
    <col min="5" max="5" width="9.28515625" style="458" hidden="1" customWidth="1"/>
    <col min="6" max="6" width="8.7109375" style="411" hidden="1" customWidth="1"/>
    <col min="7" max="7" width="9.7109375" style="407" hidden="1" customWidth="1"/>
    <col min="8" max="8" width="10.28515625" style="406" hidden="1" customWidth="1"/>
    <col min="9" max="9" width="10.42578125" style="407" hidden="1" customWidth="1"/>
    <col min="10" max="10" width="10.28515625" style="406" bestFit="1" customWidth="1"/>
    <col min="11" max="14" width="10" style="406" customWidth="1"/>
    <col min="15" max="15" width="9.7109375" style="407" customWidth="1"/>
    <col min="16" max="16384" width="9.140625" style="407"/>
  </cols>
  <sheetData>
    <row r="1" spans="1:15" ht="15">
      <c r="A1" s="368" t="s">
        <v>225</v>
      </c>
      <c r="E1" s="410"/>
    </row>
    <row r="2" spans="1:15">
      <c r="E2" s="410"/>
    </row>
    <row r="3" spans="1:15" s="413" customFormat="1" ht="14.25" customHeight="1">
      <c r="A3" s="723" t="s">
        <v>578</v>
      </c>
      <c r="B3" s="723"/>
      <c r="C3" s="723"/>
      <c r="D3" s="723"/>
      <c r="E3" s="723"/>
      <c r="F3" s="723"/>
      <c r="G3" s="723"/>
      <c r="H3" s="723"/>
      <c r="I3" s="723"/>
      <c r="J3" s="723"/>
      <c r="K3" s="723"/>
      <c r="L3" s="723"/>
      <c r="M3" s="723"/>
      <c r="N3" s="723"/>
      <c r="O3" s="723"/>
    </row>
    <row r="4" spans="1:15" ht="14.25">
      <c r="A4" s="724"/>
      <c r="B4" s="724"/>
      <c r="C4" s="724"/>
      <c r="D4" s="724"/>
      <c r="E4" s="724"/>
      <c r="F4" s="724"/>
    </row>
    <row r="5" spans="1:15" ht="12.75" customHeight="1">
      <c r="A5" s="725"/>
      <c r="B5" s="725"/>
      <c r="C5" s="725"/>
      <c r="D5" s="725"/>
      <c r="E5" s="726" t="s">
        <v>231</v>
      </c>
      <c r="F5" s="726" t="s">
        <v>232</v>
      </c>
      <c r="G5" s="726" t="s">
        <v>235</v>
      </c>
      <c r="H5" s="726" t="s">
        <v>236</v>
      </c>
      <c r="I5" s="726" t="s">
        <v>199</v>
      </c>
      <c r="J5" s="726" t="s">
        <v>200</v>
      </c>
      <c r="K5" s="726" t="s">
        <v>201</v>
      </c>
      <c r="L5" s="726" t="s">
        <v>237</v>
      </c>
      <c r="M5" s="726" t="s">
        <v>238</v>
      </c>
      <c r="N5" s="726" t="s">
        <v>239</v>
      </c>
      <c r="O5" s="726" t="s">
        <v>414</v>
      </c>
    </row>
    <row r="6" spans="1:15" ht="11.25" customHeight="1">
      <c r="A6" s="725"/>
      <c r="B6" s="725"/>
      <c r="C6" s="725"/>
      <c r="D6" s="725"/>
      <c r="E6" s="726"/>
      <c r="F6" s="726"/>
      <c r="G6" s="726"/>
      <c r="H6" s="726"/>
      <c r="I6" s="726"/>
      <c r="J6" s="726"/>
      <c r="K6" s="726"/>
      <c r="L6" s="726"/>
      <c r="M6" s="726"/>
      <c r="N6" s="726"/>
      <c r="O6" s="726"/>
    </row>
    <row r="7" spans="1:15" ht="16.5" customHeight="1">
      <c r="A7" s="745" t="s">
        <v>463</v>
      </c>
      <c r="B7" s="732" t="s">
        <v>336</v>
      </c>
      <c r="C7" s="732"/>
      <c r="D7" s="732"/>
      <c r="E7" s="414">
        <f>'[11]52_Lt'!E5/3.4528</f>
        <v>60488.704819277111</v>
      </c>
      <c r="F7" s="414">
        <f>'[11]52_Lt'!F5/3.4528</f>
        <v>68016.826923076922</v>
      </c>
      <c r="G7" s="414">
        <f>'[11]52_Lt'!G5/3.4528</f>
        <v>145771.4608433735</v>
      </c>
      <c r="H7" s="414">
        <f>'[11]52_Lt'!H5/3.4528</f>
        <v>192578.74768303987</v>
      </c>
      <c r="I7" s="414">
        <f>'[11]52_Lt'!I5/3.4528</f>
        <v>182489.25509731233</v>
      </c>
      <c r="J7" s="414">
        <v>95708.555375347554</v>
      </c>
      <c r="K7" s="414">
        <v>101789.56209453198</v>
      </c>
      <c r="L7" s="414">
        <v>114102.17794253939</v>
      </c>
      <c r="M7" s="414">
        <v>131030.32321594069</v>
      </c>
      <c r="N7" s="414">
        <v>141021.86631139944</v>
      </c>
      <c r="O7" s="415">
        <v>198531.7</v>
      </c>
    </row>
    <row r="8" spans="1:15" ht="15.75" customHeight="1">
      <c r="A8" s="745"/>
      <c r="B8" s="732" t="s">
        <v>344</v>
      </c>
      <c r="C8" s="732"/>
      <c r="D8" s="732"/>
      <c r="E8" s="414">
        <f>'[11]52_Lt'!E6/3.4528</f>
        <v>17401.355421686749</v>
      </c>
      <c r="F8" s="414">
        <f>'[11]52_Lt'!F6/3.4528</f>
        <v>19354.118396663576</v>
      </c>
      <c r="G8" s="414">
        <f>'[11]52_Lt'!G6/3.4528</f>
        <v>40616.021779425399</v>
      </c>
      <c r="H8" s="414">
        <f>'[11]52_Lt'!H6/3.4528</f>
        <v>62871.090129749769</v>
      </c>
      <c r="I8" s="414">
        <f>'[11]52_Lt'!I6/3.4528</f>
        <v>74924.003707136246</v>
      </c>
      <c r="J8" s="414">
        <v>57293.674698795185</v>
      </c>
      <c r="K8" s="414">
        <v>46229.726598702502</v>
      </c>
      <c r="L8" s="414">
        <v>46077.096848934198</v>
      </c>
      <c r="M8" s="414">
        <v>45647.300741427251</v>
      </c>
      <c r="N8" s="414">
        <v>49586.509499536609</v>
      </c>
      <c r="O8" s="415">
        <v>54718.8</v>
      </c>
    </row>
    <row r="9" spans="1:15">
      <c r="A9" s="745"/>
      <c r="B9" s="732" t="s">
        <v>345</v>
      </c>
      <c r="C9" s="732"/>
      <c r="D9" s="732"/>
      <c r="E9" s="414">
        <f>'[11]52_Lt'!E7/3.4528</f>
        <v>25967.939063948103</v>
      </c>
      <c r="F9" s="414">
        <f>'[11]52_Lt'!F7/3.4528</f>
        <v>32588.652687673773</v>
      </c>
      <c r="G9" s="414">
        <f>'[11]52_Lt'!G7/3.4528</f>
        <v>80427.884615384624</v>
      </c>
      <c r="H9" s="414">
        <f>'[11]52_Lt'!H7/3.4528</f>
        <v>223586.68327154772</v>
      </c>
      <c r="I9" s="414">
        <f>'[11]52_Lt'!I7/3.4528</f>
        <v>346928.31904541247</v>
      </c>
      <c r="J9" s="414">
        <v>337677.82669138093</v>
      </c>
      <c r="K9" s="414">
        <v>263689.46941612603</v>
      </c>
      <c r="L9" s="414">
        <v>199726.36700648748</v>
      </c>
      <c r="M9" s="414">
        <v>151361.79332715477</v>
      </c>
      <c r="N9" s="414">
        <v>153220.63253012046</v>
      </c>
      <c r="O9" s="415">
        <v>165543.4</v>
      </c>
    </row>
    <row r="10" spans="1:15">
      <c r="A10" s="745"/>
      <c r="B10" s="732" t="s">
        <v>346</v>
      </c>
      <c r="C10" s="732"/>
      <c r="D10" s="732"/>
      <c r="E10" s="414">
        <f>'[11]52_Lt'!E8/3.4528</f>
        <v>0</v>
      </c>
      <c r="F10" s="414">
        <f>'[11]52_Lt'!F8/3.4528</f>
        <v>0</v>
      </c>
      <c r="G10" s="414">
        <f>'[11]52_Lt'!G8/3.4528</f>
        <v>5549.7856811862839</v>
      </c>
      <c r="H10" s="414">
        <f>'[11]52_Lt'!H8/3.4528</f>
        <v>9209.6848934198333</v>
      </c>
      <c r="I10" s="414">
        <f>'[11]52_Lt'!I8/3.4528</f>
        <v>9889.0465708989814</v>
      </c>
      <c r="J10" s="414">
        <v>8097.3992122335503</v>
      </c>
      <c r="K10" s="414">
        <v>7717.2150139017613</v>
      </c>
      <c r="L10" s="414">
        <v>8218.8368860055616</v>
      </c>
      <c r="M10" s="414">
        <v>8375.5213160333642</v>
      </c>
      <c r="N10" s="414">
        <v>9506.8929564411501</v>
      </c>
      <c r="O10" s="415">
        <v>10876.3</v>
      </c>
    </row>
    <row r="11" spans="1:15">
      <c r="A11" s="745"/>
      <c r="B11" s="732" t="s">
        <v>347</v>
      </c>
      <c r="C11" s="732"/>
      <c r="D11" s="732"/>
      <c r="E11" s="414">
        <f>'[11]52_Lt'!E9/3.4528</f>
        <v>0</v>
      </c>
      <c r="F11" s="414">
        <f>'[11]52_Lt'!F9/3.4528</f>
        <v>0</v>
      </c>
      <c r="G11" s="414">
        <f>'[11]52_Lt'!G9/3.4528</f>
        <v>11.671686746987952</v>
      </c>
      <c r="H11" s="414">
        <f>'[11]52_Lt'!H9/3.4528</f>
        <v>7.3853104726598708</v>
      </c>
      <c r="I11" s="414">
        <f>'[11]52_Lt'!I9/3.4528</f>
        <v>4.0836422613531047</v>
      </c>
      <c r="J11" s="414">
        <v>3.909870250231696</v>
      </c>
      <c r="K11" s="414">
        <v>2.896200185356812</v>
      </c>
      <c r="L11" s="414">
        <v>3.1858202038924932</v>
      </c>
      <c r="M11" s="414">
        <v>3.1858202038924932</v>
      </c>
      <c r="N11" s="414">
        <v>1.3901760889712698</v>
      </c>
      <c r="O11" s="415">
        <v>1.5</v>
      </c>
    </row>
    <row r="12" spans="1:15" ht="20.25" customHeight="1">
      <c r="A12" s="721"/>
      <c r="B12" s="740" t="s">
        <v>56</v>
      </c>
      <c r="C12" s="741"/>
      <c r="D12" s="741"/>
      <c r="E12" s="416">
        <f t="shared" ref="E12:I12" si="0">SUM(E7:E11)</f>
        <v>103857.99930491195</v>
      </c>
      <c r="F12" s="416">
        <f t="shared" si="0"/>
        <v>119959.59800741427</v>
      </c>
      <c r="G12" s="416">
        <f t="shared" si="0"/>
        <v>272376.8246061168</v>
      </c>
      <c r="H12" s="416">
        <f>SUM(H7:H11)</f>
        <v>488253.59128822992</v>
      </c>
      <c r="I12" s="416">
        <f t="shared" si="0"/>
        <v>614234.7080630213</v>
      </c>
      <c r="J12" s="416">
        <f t="shared" ref="J12:L12" si="1">SUM(J7:J11)</f>
        <v>498781.36584800744</v>
      </c>
      <c r="K12" s="416">
        <f t="shared" si="1"/>
        <v>419428.86932344764</v>
      </c>
      <c r="L12" s="416">
        <f t="shared" si="1"/>
        <v>368127.66450417053</v>
      </c>
      <c r="M12" s="416">
        <f>SUM(M7:M11)</f>
        <v>336418.12442075997</v>
      </c>
      <c r="N12" s="416">
        <f>SUM(N7:N11)</f>
        <v>353337.29147358664</v>
      </c>
      <c r="O12" s="417">
        <f>SUM(O7:O11)</f>
        <v>429671.7</v>
      </c>
    </row>
    <row r="13" spans="1:15" ht="17.25" customHeight="1">
      <c r="A13" s="744" t="s">
        <v>329</v>
      </c>
      <c r="B13" s="736" t="s">
        <v>336</v>
      </c>
      <c r="C13" s="736"/>
      <c r="D13" s="736"/>
      <c r="E13" s="418">
        <v>594045</v>
      </c>
      <c r="F13" s="418">
        <v>585944</v>
      </c>
      <c r="G13" s="419">
        <v>772829</v>
      </c>
      <c r="H13" s="419">
        <v>754053</v>
      </c>
      <c r="I13" s="419">
        <v>580410</v>
      </c>
      <c r="J13" s="419">
        <v>400035</v>
      </c>
      <c r="K13" s="419">
        <v>468068</v>
      </c>
      <c r="L13" s="419">
        <v>468752</v>
      </c>
      <c r="M13" s="419">
        <v>582028</v>
      </c>
      <c r="N13" s="419">
        <v>554414</v>
      </c>
      <c r="O13" s="420">
        <v>720952</v>
      </c>
    </row>
    <row r="14" spans="1:15" ht="16.5" customHeight="1">
      <c r="A14" s="746"/>
      <c r="B14" s="732" t="s">
        <v>344</v>
      </c>
      <c r="C14" s="732"/>
      <c r="D14" s="732"/>
      <c r="E14" s="421">
        <v>21587</v>
      </c>
      <c r="F14" s="421">
        <v>19253</v>
      </c>
      <c r="G14" s="414">
        <v>25704</v>
      </c>
      <c r="H14" s="414">
        <v>27029</v>
      </c>
      <c r="I14" s="414">
        <v>29888</v>
      </c>
      <c r="J14" s="414">
        <v>24069</v>
      </c>
      <c r="K14" s="414">
        <v>20251</v>
      </c>
      <c r="L14" s="414">
        <v>19406</v>
      </c>
      <c r="M14" s="414">
        <v>19043</v>
      </c>
      <c r="N14" s="414">
        <v>20042</v>
      </c>
      <c r="O14" s="415">
        <v>21604</v>
      </c>
    </row>
    <row r="15" spans="1:15" ht="16.5" customHeight="1">
      <c r="A15" s="746"/>
      <c r="B15" s="732" t="s">
        <v>348</v>
      </c>
      <c r="C15" s="732"/>
      <c r="D15" s="732"/>
      <c r="E15" s="421"/>
      <c r="F15" s="421"/>
      <c r="G15" s="414">
        <v>9185</v>
      </c>
      <c r="H15" s="414">
        <v>12304</v>
      </c>
      <c r="I15" s="414">
        <v>12966</v>
      </c>
      <c r="J15" s="414">
        <v>12349</v>
      </c>
      <c r="K15" s="414">
        <v>12029</v>
      </c>
      <c r="L15" s="414">
        <v>12124</v>
      </c>
      <c r="M15" s="414">
        <v>12642</v>
      </c>
      <c r="N15" s="414">
        <v>13474</v>
      </c>
      <c r="O15" s="415">
        <v>14933</v>
      </c>
    </row>
    <row r="16" spans="1:15" ht="16.5" customHeight="1">
      <c r="A16" s="746"/>
      <c r="B16" s="732" t="s">
        <v>347</v>
      </c>
      <c r="C16" s="732"/>
      <c r="D16" s="732"/>
      <c r="E16" s="421"/>
      <c r="F16" s="421"/>
      <c r="G16" s="414">
        <v>15</v>
      </c>
      <c r="H16" s="414">
        <v>8</v>
      </c>
      <c r="I16" s="414">
        <v>3</v>
      </c>
      <c r="J16" s="414">
        <v>3</v>
      </c>
      <c r="K16" s="414">
        <v>2</v>
      </c>
      <c r="L16" s="414">
        <v>3</v>
      </c>
      <c r="M16" s="414">
        <v>2</v>
      </c>
      <c r="N16" s="414">
        <v>0</v>
      </c>
      <c r="O16" s="415">
        <v>2</v>
      </c>
    </row>
    <row r="17" spans="1:17" ht="15.75" customHeight="1">
      <c r="A17" s="747"/>
      <c r="B17" s="740" t="s">
        <v>56</v>
      </c>
      <c r="C17" s="741"/>
      <c r="D17" s="741"/>
      <c r="E17" s="422">
        <f t="shared" ref="E17:K17" si="2">SUM(E13:E16)</f>
        <v>615632</v>
      </c>
      <c r="F17" s="422">
        <f t="shared" si="2"/>
        <v>605197</v>
      </c>
      <c r="G17" s="416">
        <f t="shared" si="2"/>
        <v>807733</v>
      </c>
      <c r="H17" s="416">
        <f t="shared" si="2"/>
        <v>793394</v>
      </c>
      <c r="I17" s="416">
        <f t="shared" si="2"/>
        <v>623267</v>
      </c>
      <c r="J17" s="416">
        <f t="shared" si="2"/>
        <v>436456</v>
      </c>
      <c r="K17" s="416">
        <f t="shared" si="2"/>
        <v>500350</v>
      </c>
      <c r="L17" s="416">
        <f>SUM(L13:L16)</f>
        <v>500285</v>
      </c>
      <c r="M17" s="416">
        <f>SUM(M13:M16)</f>
        <v>613715</v>
      </c>
      <c r="N17" s="416">
        <f>SUM(N13:N16)</f>
        <v>587930</v>
      </c>
      <c r="O17" s="417">
        <f>SUM(O13:O16)</f>
        <v>757491</v>
      </c>
    </row>
    <row r="18" spans="1:17" ht="16.5" customHeight="1">
      <c r="A18" s="744" t="s">
        <v>330</v>
      </c>
      <c r="B18" s="736" t="s">
        <v>336</v>
      </c>
      <c r="C18" s="736"/>
      <c r="D18" s="736"/>
      <c r="E18" s="418">
        <v>5912009</v>
      </c>
      <c r="F18" s="418">
        <v>5749620</v>
      </c>
      <c r="G18" s="419">
        <v>9082797</v>
      </c>
      <c r="H18" s="419">
        <v>9557610</v>
      </c>
      <c r="I18" s="419">
        <v>8363002</v>
      </c>
      <c r="J18" s="419">
        <v>5922093</v>
      </c>
      <c r="K18" s="419">
        <v>6252372</v>
      </c>
      <c r="L18" s="419">
        <v>6627793</v>
      </c>
      <c r="M18" s="419">
        <v>7466360</v>
      </c>
      <c r="N18" s="419">
        <v>7624406</v>
      </c>
      <c r="O18" s="420">
        <v>9320960</v>
      </c>
    </row>
    <row r="19" spans="1:17" ht="15.75" customHeight="1">
      <c r="A19" s="745"/>
      <c r="B19" s="732" t="s">
        <v>344</v>
      </c>
      <c r="C19" s="732"/>
      <c r="D19" s="732"/>
      <c r="E19" s="421">
        <v>1629010</v>
      </c>
      <c r="F19" s="421">
        <v>1634989</v>
      </c>
      <c r="G19" s="414">
        <v>2032909</v>
      </c>
      <c r="H19" s="414">
        <v>2318613</v>
      </c>
      <c r="I19" s="414">
        <v>2414254</v>
      </c>
      <c r="J19" s="414">
        <v>2040711</v>
      </c>
      <c r="K19" s="414">
        <v>1774246</v>
      </c>
      <c r="L19" s="414">
        <v>1687492</v>
      </c>
      <c r="M19" s="414">
        <v>1680775</v>
      </c>
      <c r="N19" s="414">
        <v>1732320</v>
      </c>
      <c r="O19" s="415">
        <v>1850003</v>
      </c>
    </row>
    <row r="20" spans="1:17" ht="15.75" customHeight="1">
      <c r="A20" s="745"/>
      <c r="B20" s="732" t="s">
        <v>348</v>
      </c>
      <c r="C20" s="732"/>
      <c r="D20" s="732"/>
      <c r="E20" s="421"/>
      <c r="F20" s="421"/>
      <c r="G20" s="414">
        <v>178794</v>
      </c>
      <c r="H20" s="414">
        <v>242041</v>
      </c>
      <c r="I20" s="414">
        <v>265389</v>
      </c>
      <c r="J20" s="414">
        <v>258283</v>
      </c>
      <c r="K20" s="414">
        <v>240262</v>
      </c>
      <c r="L20" s="414">
        <v>247271</v>
      </c>
      <c r="M20" s="414">
        <v>251936</v>
      </c>
      <c r="N20" s="414">
        <v>262766</v>
      </c>
      <c r="O20" s="415">
        <v>290012</v>
      </c>
    </row>
    <row r="21" spans="1:17" ht="15.75" customHeight="1">
      <c r="A21" s="745"/>
      <c r="B21" s="732" t="s">
        <v>347</v>
      </c>
      <c r="C21" s="732"/>
      <c r="D21" s="732"/>
      <c r="E21" s="421"/>
      <c r="F21" s="421"/>
      <c r="G21" s="414">
        <v>1224</v>
      </c>
      <c r="H21" s="414">
        <v>504</v>
      </c>
      <c r="I21" s="414">
        <v>243</v>
      </c>
      <c r="J21" s="414">
        <v>498</v>
      </c>
      <c r="K21" s="414">
        <v>254</v>
      </c>
      <c r="L21" s="414">
        <v>278</v>
      </c>
      <c r="M21" s="414">
        <v>256</v>
      </c>
      <c r="N21" s="414">
        <v>111</v>
      </c>
      <c r="O21" s="415">
        <v>98</v>
      </c>
    </row>
    <row r="22" spans="1:17" ht="15.75" customHeight="1">
      <c r="A22" s="721"/>
      <c r="B22" s="740" t="s">
        <v>56</v>
      </c>
      <c r="C22" s="741"/>
      <c r="D22" s="741"/>
      <c r="E22" s="423">
        <f t="shared" ref="E22:K22" si="3">SUM(E18:E21)</f>
        <v>7541019</v>
      </c>
      <c r="F22" s="423">
        <f t="shared" si="3"/>
        <v>7384609</v>
      </c>
      <c r="G22" s="424">
        <f t="shared" si="3"/>
        <v>11295724</v>
      </c>
      <c r="H22" s="424">
        <f t="shared" si="3"/>
        <v>12118768</v>
      </c>
      <c r="I22" s="424">
        <f t="shared" si="3"/>
        <v>11042888</v>
      </c>
      <c r="J22" s="424">
        <f t="shared" si="3"/>
        <v>8221585</v>
      </c>
      <c r="K22" s="424">
        <f t="shared" si="3"/>
        <v>8267134</v>
      </c>
      <c r="L22" s="424">
        <f>SUM(L18:L21)</f>
        <v>8562834</v>
      </c>
      <c r="M22" s="424">
        <f>SUM(M18:M21)</f>
        <v>9399327</v>
      </c>
      <c r="N22" s="424">
        <f>SUM(N18:N21)</f>
        <v>9619603</v>
      </c>
      <c r="O22" s="417">
        <f>SUM(O18:O21)</f>
        <v>11461073</v>
      </c>
    </row>
    <row r="23" spans="1:17" ht="15" hidden="1" customHeight="1">
      <c r="A23" s="737" t="s">
        <v>349</v>
      </c>
      <c r="B23" s="742" t="s">
        <v>350</v>
      </c>
      <c r="C23" s="742"/>
      <c r="D23" s="742"/>
      <c r="E23" s="425" t="s">
        <v>351</v>
      </c>
      <c r="F23" s="426">
        <v>491.47</v>
      </c>
      <c r="G23" s="426">
        <v>585</v>
      </c>
      <c r="H23" s="426">
        <v>567.20000000000005</v>
      </c>
      <c r="I23" s="426">
        <v>486.06803445060893</v>
      </c>
      <c r="J23" s="426">
        <v>354.08572090147993</v>
      </c>
      <c r="K23" s="427"/>
      <c r="L23" s="427"/>
      <c r="M23" s="427"/>
      <c r="N23" s="427"/>
      <c r="O23" s="428"/>
    </row>
    <row r="24" spans="1:17" s="433" customFormat="1" ht="15.75" customHeight="1">
      <c r="A24" s="737"/>
      <c r="B24" s="743" t="s">
        <v>352</v>
      </c>
      <c r="C24" s="743"/>
      <c r="D24" s="743"/>
      <c r="E24" s="429">
        <v>5.12</v>
      </c>
      <c r="F24" s="430">
        <v>4.82</v>
      </c>
      <c r="G24" s="430">
        <v>6.88</v>
      </c>
      <c r="H24" s="430">
        <v>7.19</v>
      </c>
      <c r="I24" s="431">
        <f>I18/(I38*1000)</f>
        <v>6.9965715719902954</v>
      </c>
      <c r="J24" s="431">
        <f>J18/(J38*1000)</f>
        <v>5.2417180031864046</v>
      </c>
      <c r="K24" s="431">
        <f t="shared" ref="K24:N24" si="4">K18/(K38*1000)</f>
        <v>5.3179994896657314</v>
      </c>
      <c r="L24" s="431">
        <f t="shared" si="4"/>
        <v>5.4370738310090241</v>
      </c>
      <c r="M24" s="431">
        <f t="shared" si="4"/>
        <v>6.0110780130424279</v>
      </c>
      <c r="N24" s="431">
        <f t="shared" si="4"/>
        <v>5.9992178770949725</v>
      </c>
      <c r="O24" s="432">
        <f>O18/(O38*1000)</f>
        <v>7.2367701863354039</v>
      </c>
    </row>
    <row r="25" spans="1:17" s="433" customFormat="1" ht="16.5" customHeight="1">
      <c r="A25" s="737"/>
      <c r="B25" s="731" t="s">
        <v>643</v>
      </c>
      <c r="C25" s="731"/>
      <c r="D25" s="731"/>
      <c r="E25" s="429">
        <v>9.9499999999999993</v>
      </c>
      <c r="F25" s="430">
        <v>9.81</v>
      </c>
      <c r="G25" s="430">
        <v>11.8</v>
      </c>
      <c r="H25" s="430">
        <v>12.7</v>
      </c>
      <c r="I25" s="431">
        <f>I18/I13</f>
        <v>14.408783446184593</v>
      </c>
      <c r="J25" s="431">
        <f t="shared" ref="J25:M25" si="5">J18/J13</f>
        <v>14.803937155498893</v>
      </c>
      <c r="K25" s="431">
        <f t="shared" si="5"/>
        <v>13.357828349726963</v>
      </c>
      <c r="L25" s="431">
        <f t="shared" si="5"/>
        <v>14.139231405946001</v>
      </c>
      <c r="M25" s="431">
        <f t="shared" si="5"/>
        <v>12.828180087555925</v>
      </c>
      <c r="N25" s="431">
        <f>N18/N13</f>
        <v>13.752188797541187</v>
      </c>
      <c r="O25" s="432">
        <f>O18/O13</f>
        <v>12.928683185565752</v>
      </c>
    </row>
    <row r="26" spans="1:17" s="433" customFormat="1" ht="14.25" customHeight="1">
      <c r="A26" s="737"/>
      <c r="B26" s="731" t="s">
        <v>464</v>
      </c>
      <c r="C26" s="731"/>
      <c r="D26" s="731"/>
      <c r="E26" s="429">
        <v>35.33</v>
      </c>
      <c r="F26" s="430">
        <v>40.85</v>
      </c>
      <c r="G26" s="430">
        <v>55.4</v>
      </c>
      <c r="H26" s="430">
        <v>69.599999999999994</v>
      </c>
      <c r="I26" s="434">
        <f>I7/I18*1000</f>
        <v>21.821022534409575</v>
      </c>
      <c r="J26" s="434">
        <f t="shared" ref="J26:M26" si="6">J7/J18*1000</f>
        <v>16.161271931283004</v>
      </c>
      <c r="K26" s="434">
        <f t="shared" si="6"/>
        <v>16.280151292106737</v>
      </c>
      <c r="L26" s="434">
        <f t="shared" si="6"/>
        <v>17.215712371001839</v>
      </c>
      <c r="M26" s="434">
        <f t="shared" si="6"/>
        <v>17.549424782081321</v>
      </c>
      <c r="N26" s="434">
        <f>N7/N18*1000</f>
        <v>18.496111869095042</v>
      </c>
      <c r="O26" s="432">
        <f>O7/O18*1000</f>
        <v>21.299490610409229</v>
      </c>
    </row>
    <row r="27" spans="1:17" s="433" customFormat="1" ht="15" customHeight="1">
      <c r="A27" s="737"/>
      <c r="B27" s="732" t="s">
        <v>644</v>
      </c>
      <c r="C27" s="732"/>
      <c r="D27" s="732"/>
      <c r="E27" s="429">
        <v>75.459999999999994</v>
      </c>
      <c r="F27" s="430">
        <v>84.92</v>
      </c>
      <c r="G27" s="430">
        <v>79.099999999999994</v>
      </c>
      <c r="H27" s="430">
        <v>85.8</v>
      </c>
      <c r="I27" s="431">
        <f>I19/I14</f>
        <v>80.776699678800853</v>
      </c>
      <c r="J27" s="431">
        <f t="shared" ref="J27:M27" si="7">J19/J14</f>
        <v>84.785865636295654</v>
      </c>
      <c r="K27" s="431">
        <f t="shared" si="7"/>
        <v>87.612759863710437</v>
      </c>
      <c r="L27" s="431">
        <f t="shared" si="7"/>
        <v>86.957229722766158</v>
      </c>
      <c r="M27" s="431">
        <f t="shared" si="7"/>
        <v>88.262091057081349</v>
      </c>
      <c r="N27" s="431">
        <f>N19/N14</f>
        <v>86.434487576090206</v>
      </c>
      <c r="O27" s="432">
        <f>O19/O14</f>
        <v>85.632429179781525</v>
      </c>
    </row>
    <row r="28" spans="1:17" ht="19.5" customHeight="1">
      <c r="A28" s="737"/>
      <c r="B28" s="732" t="s">
        <v>646</v>
      </c>
      <c r="C28" s="732"/>
      <c r="D28" s="732"/>
      <c r="E28" s="429">
        <v>36.880000000000003</v>
      </c>
      <c r="F28" s="430">
        <v>40.869999999999997</v>
      </c>
      <c r="G28" s="430">
        <v>69</v>
      </c>
      <c r="H28" s="430">
        <v>93.63</v>
      </c>
      <c r="I28" s="431">
        <f>I8/I19*1000</f>
        <v>31.034018668763206</v>
      </c>
      <c r="J28" s="431">
        <f t="shared" ref="J28:M28" si="8">J8/J19*1000</f>
        <v>28.075349571201009</v>
      </c>
      <c r="K28" s="431">
        <f t="shared" si="8"/>
        <v>26.055984682339709</v>
      </c>
      <c r="L28" s="431">
        <f t="shared" si="8"/>
        <v>27.305075727134824</v>
      </c>
      <c r="M28" s="431">
        <f t="shared" si="8"/>
        <v>27.158483878822121</v>
      </c>
      <c r="N28" s="431">
        <f>N8/N19*1000</f>
        <v>28.624335861467056</v>
      </c>
      <c r="O28" s="432">
        <f>O8/O19*1000</f>
        <v>29.577681765921461</v>
      </c>
    </row>
    <row r="29" spans="1:17" ht="30" customHeight="1">
      <c r="A29" s="737"/>
      <c r="B29" s="733" t="s">
        <v>645</v>
      </c>
      <c r="C29" s="734"/>
      <c r="D29" s="734"/>
      <c r="E29" s="435">
        <v>14975.25</v>
      </c>
      <c r="F29" s="435">
        <v>15535</v>
      </c>
      <c r="G29" s="436">
        <v>16911</v>
      </c>
      <c r="H29" s="436">
        <v>37491</v>
      </c>
      <c r="I29" s="437">
        <f>I30+I31</f>
        <v>45679</v>
      </c>
      <c r="J29" s="437">
        <f t="shared" ref="J29:M29" si="9">J30+J31</f>
        <v>47126</v>
      </c>
      <c r="K29" s="437">
        <f t="shared" si="9"/>
        <v>42839</v>
      </c>
      <c r="L29" s="437">
        <f t="shared" si="9"/>
        <v>37839</v>
      </c>
      <c r="M29" s="437">
        <f t="shared" si="9"/>
        <v>35614</v>
      </c>
      <c r="N29" s="437">
        <f>N30+N31</f>
        <v>36236</v>
      </c>
      <c r="O29" s="415">
        <f>O30+O31</f>
        <v>37954</v>
      </c>
    </row>
    <row r="30" spans="1:17" ht="12" customHeight="1">
      <c r="A30" s="737"/>
      <c r="B30" s="438" t="s">
        <v>353</v>
      </c>
      <c r="C30" s="439"/>
      <c r="D30" s="439"/>
      <c r="E30" s="435">
        <v>14975.25</v>
      </c>
      <c r="F30" s="435">
        <v>15535</v>
      </c>
      <c r="G30" s="436">
        <v>16911</v>
      </c>
      <c r="H30" s="436">
        <v>20265</v>
      </c>
      <c r="I30" s="437">
        <v>23068</v>
      </c>
      <c r="J30" s="437">
        <v>21831</v>
      </c>
      <c r="K30" s="437">
        <v>19836</v>
      </c>
      <c r="L30" s="437">
        <v>21142</v>
      </c>
      <c r="M30" s="437">
        <v>18045</v>
      </c>
      <c r="N30" s="437">
        <v>17907</v>
      </c>
      <c r="O30" s="415">
        <v>19020</v>
      </c>
    </row>
    <row r="31" spans="1:17" ht="15" customHeight="1">
      <c r="A31" s="737"/>
      <c r="B31" s="438" t="s">
        <v>354</v>
      </c>
      <c r="C31" s="439"/>
      <c r="D31" s="439"/>
      <c r="E31" s="429"/>
      <c r="F31" s="436"/>
      <c r="G31" s="436"/>
      <c r="H31" s="436">
        <v>17226</v>
      </c>
      <c r="I31" s="437">
        <v>22611</v>
      </c>
      <c r="J31" s="437">
        <v>25295</v>
      </c>
      <c r="K31" s="437">
        <v>23003</v>
      </c>
      <c r="L31" s="437">
        <v>16697</v>
      </c>
      <c r="M31" s="437">
        <v>17569</v>
      </c>
      <c r="N31" s="437">
        <v>18329</v>
      </c>
      <c r="O31" s="415">
        <v>18934</v>
      </c>
    </row>
    <row r="32" spans="1:17" ht="21.75" customHeight="1">
      <c r="A32" s="737"/>
      <c r="B32" s="738" t="s">
        <v>465</v>
      </c>
      <c r="C32" s="738"/>
      <c r="D32" s="738"/>
      <c r="E32" s="429"/>
      <c r="F32" s="430"/>
      <c r="G32" s="430"/>
      <c r="H32" s="430"/>
      <c r="I32" s="440"/>
      <c r="J32" s="434">
        <f>(J30*J33+J31*J34)/(J30+J31)</f>
        <v>591.61530699825221</v>
      </c>
      <c r="K32" s="434">
        <f t="shared" ref="K32:O32" si="10">(K30*K33+K31*K34)/(K30+K31)</f>
        <v>509.98225804762757</v>
      </c>
      <c r="L32" s="434">
        <f t="shared" si="10"/>
        <v>454.20717458689973</v>
      </c>
      <c r="M32" s="434">
        <f t="shared" si="10"/>
        <v>365.82415861180272</v>
      </c>
      <c r="N32" s="434">
        <f t="shared" si="10"/>
        <v>352.36735106891859</v>
      </c>
      <c r="O32" s="415">
        <f t="shared" si="10"/>
        <v>363.47376648925894</v>
      </c>
      <c r="P32" s="434"/>
      <c r="Q32" s="433"/>
    </row>
    <row r="33" spans="1:15" ht="13.5" customHeight="1">
      <c r="A33" s="737"/>
      <c r="B33" s="438" t="s">
        <v>353</v>
      </c>
      <c r="C33" s="439"/>
      <c r="D33" s="439"/>
      <c r="E33" s="429">
        <v>509.71</v>
      </c>
      <c r="F33" s="430">
        <v>603.79</v>
      </c>
      <c r="G33" s="430">
        <v>1489.6</v>
      </c>
      <c r="H33" s="430">
        <v>2139.6</v>
      </c>
      <c r="I33" s="434">
        <f>'[11]52_Lt'!I31/3.4528</f>
        <v>752.60658016682112</v>
      </c>
      <c r="J33" s="434">
        <f>'[11]52_Lt'!J31/3.4528</f>
        <v>618.77316960148289</v>
      </c>
      <c r="K33" s="434">
        <f>'[11]52_Lt'!K31/3.4528</f>
        <v>541.67632066728459</v>
      </c>
      <c r="L33" s="434">
        <f>'[11]52_Lt'!L31/3.4528</f>
        <v>392.49304911955517</v>
      </c>
      <c r="M33" s="434">
        <f>'[11]52_Lt'!M31/3.4528</f>
        <v>433.7610055607044</v>
      </c>
      <c r="N33" s="434">
        <f>N39/N30*1000/12</f>
        <v>421.14908508776824</v>
      </c>
      <c r="O33" s="441">
        <f>O39/O30*1000/12</f>
        <v>432.06624605678235</v>
      </c>
    </row>
    <row r="34" spans="1:15" ht="12.75" customHeight="1">
      <c r="A34" s="737"/>
      <c r="B34" s="438" t="s">
        <v>355</v>
      </c>
      <c r="C34" s="439"/>
      <c r="D34" s="439"/>
      <c r="E34" s="429"/>
      <c r="F34" s="430"/>
      <c r="G34" s="430"/>
      <c r="H34" s="430">
        <v>1358.6</v>
      </c>
      <c r="I34" s="434">
        <f>'[11]52_Lt'!I32/3.4528</f>
        <v>532.92979610750695</v>
      </c>
      <c r="J34" s="434">
        <f>'[11]52_Lt'!J32/3.4528</f>
        <v>568.17655236329938</v>
      </c>
      <c r="K34" s="434">
        <f>'[11]52_Lt'!K32/3.4528</f>
        <v>482.6517608897127</v>
      </c>
      <c r="L34" s="434">
        <f>'[11]52_Lt'!L32/3.4528</f>
        <v>532.35055607043557</v>
      </c>
      <c r="M34" s="434">
        <f>'[11]52_Lt'!M32/3.4528</f>
        <v>296.04668674698797</v>
      </c>
      <c r="N34" s="434">
        <f>N40/N31*1000/12</f>
        <v>285.16922181606566</v>
      </c>
      <c r="O34" s="441">
        <f>O40/O31*1000/12</f>
        <v>294.56973346008948</v>
      </c>
    </row>
    <row r="35" spans="1:15" s="433" customFormat="1" ht="15.75" customHeight="1">
      <c r="A35" s="737"/>
      <c r="B35" s="739" t="s">
        <v>466</v>
      </c>
      <c r="C35" s="739"/>
      <c r="D35" s="739"/>
      <c r="E35" s="442"/>
      <c r="F35" s="434"/>
      <c r="G35" s="443">
        <v>2086.3000000000002</v>
      </c>
      <c r="H35" s="443">
        <v>2584.5</v>
      </c>
      <c r="I35" s="434">
        <f>I10*1000/I15</f>
        <v>762.69061938138066</v>
      </c>
      <c r="J35" s="434">
        <f t="shared" ref="J35:M35" si="11">J10*1000/J15</f>
        <v>655.71294940752693</v>
      </c>
      <c r="K35" s="434">
        <f t="shared" si="11"/>
        <v>641.55083663660821</v>
      </c>
      <c r="L35" s="434">
        <f t="shared" si="11"/>
        <v>677.89812652635783</v>
      </c>
      <c r="M35" s="434">
        <f t="shared" si="11"/>
        <v>662.51552887465311</v>
      </c>
      <c r="N35" s="434">
        <f>N10*1000/N15</f>
        <v>705.57317473958369</v>
      </c>
      <c r="O35" s="444">
        <f>O10*1000/O15</f>
        <v>728.33991830174784</v>
      </c>
    </row>
    <row r="36" spans="1:15" s="445" customFormat="1" ht="15" customHeight="1">
      <c r="A36" s="737"/>
      <c r="B36" s="739" t="s">
        <v>356</v>
      </c>
      <c r="C36" s="739"/>
      <c r="D36" s="739"/>
      <c r="E36" s="442"/>
      <c r="F36" s="434"/>
      <c r="G36" s="443">
        <v>19.5</v>
      </c>
      <c r="H36" s="443">
        <v>19.7</v>
      </c>
      <c r="I36" s="434">
        <f>I20/I15</f>
        <v>20.468070337806569</v>
      </c>
      <c r="J36" s="434">
        <f t="shared" ref="J36:N36" si="12">J20/J15</f>
        <v>20.915296785164792</v>
      </c>
      <c r="K36" s="434">
        <f t="shared" si="12"/>
        <v>19.973563887272427</v>
      </c>
      <c r="L36" s="434">
        <f t="shared" si="12"/>
        <v>20.395166611679315</v>
      </c>
      <c r="M36" s="434">
        <f t="shared" si="12"/>
        <v>19.928492327163422</v>
      </c>
      <c r="N36" s="434">
        <f t="shared" si="12"/>
        <v>19.501706991242393</v>
      </c>
      <c r="O36" s="444">
        <f>O20/O15</f>
        <v>19.420879930355589</v>
      </c>
    </row>
    <row r="37" spans="1:15" s="433" customFormat="1" ht="25.5" customHeight="1">
      <c r="A37" s="737"/>
      <c r="B37" s="735" t="s">
        <v>467</v>
      </c>
      <c r="C37" s="735"/>
      <c r="D37" s="735"/>
      <c r="E37" s="446"/>
      <c r="F37" s="447"/>
      <c r="G37" s="448">
        <v>32.9</v>
      </c>
      <c r="H37" s="448">
        <v>42.93</v>
      </c>
      <c r="I37" s="449">
        <f>I11/I21*1000</f>
        <v>16.805112186638294</v>
      </c>
      <c r="J37" s="449">
        <f t="shared" ref="J37:L37" si="13">J11/J21*1000</f>
        <v>7.8511450807865373</v>
      </c>
      <c r="K37" s="449">
        <f t="shared" si="13"/>
        <v>11.402362934475638</v>
      </c>
      <c r="L37" s="449">
        <f t="shared" si="13"/>
        <v>11.459784906088105</v>
      </c>
      <c r="M37" s="449">
        <f>M11/M21*1000</f>
        <v>12.444610171455052</v>
      </c>
      <c r="N37" s="449">
        <f>N11/N21*1000</f>
        <v>12.52410890965108</v>
      </c>
      <c r="O37" s="450">
        <f>O11/O21*1000</f>
        <v>15.306122448979592</v>
      </c>
    </row>
    <row r="38" spans="1:15" s="433" customFormat="1" ht="12.75" hidden="1" customHeight="1">
      <c r="A38" s="412"/>
      <c r="B38" s="729" t="s">
        <v>468</v>
      </c>
      <c r="C38" s="730"/>
      <c r="D38" s="730"/>
      <c r="E38" s="451"/>
      <c r="F38" s="451"/>
      <c r="G38" s="452"/>
      <c r="H38" s="453"/>
      <c r="I38" s="454">
        <v>1195.3</v>
      </c>
      <c r="J38" s="454">
        <v>1129.8</v>
      </c>
      <c r="K38" s="454">
        <v>1175.7</v>
      </c>
      <c r="L38" s="454">
        <v>1219</v>
      </c>
      <c r="M38" s="454">
        <v>1242.0999999999999</v>
      </c>
      <c r="N38" s="454">
        <v>1270.9000000000001</v>
      </c>
      <c r="O38" s="455">
        <v>1288</v>
      </c>
    </row>
    <row r="39" spans="1:15" s="433" customFormat="1" hidden="1">
      <c r="A39" s="412"/>
      <c r="B39" s="727" t="s">
        <v>469</v>
      </c>
      <c r="C39" s="728"/>
      <c r="D39" s="728"/>
      <c r="E39" s="451"/>
      <c r="F39" s="451"/>
      <c r="G39" s="452"/>
      <c r="H39" s="453"/>
      <c r="I39" s="452"/>
      <c r="J39" s="453"/>
      <c r="K39" s="453"/>
      <c r="L39" s="453"/>
      <c r="M39" s="453"/>
      <c r="N39" s="454">
        <v>90498.2</v>
      </c>
      <c r="O39" s="456">
        <v>98614.8</v>
      </c>
    </row>
    <row r="40" spans="1:15" s="433" customFormat="1" hidden="1">
      <c r="A40" s="412"/>
      <c r="B40" s="727" t="s">
        <v>470</v>
      </c>
      <c r="C40" s="728"/>
      <c r="D40" s="728"/>
      <c r="E40" s="451"/>
      <c r="F40" s="451"/>
      <c r="G40" s="452"/>
      <c r="H40" s="453"/>
      <c r="I40" s="452"/>
      <c r="J40" s="453"/>
      <c r="K40" s="453"/>
      <c r="L40" s="453"/>
      <c r="M40" s="453"/>
      <c r="N40" s="454">
        <v>62722.400000000001</v>
      </c>
      <c r="O40" s="456">
        <v>66928.600000000006</v>
      </c>
    </row>
    <row r="41" spans="1:15" s="433" customFormat="1">
      <c r="A41" s="412"/>
      <c r="B41" s="409"/>
      <c r="C41" s="409"/>
      <c r="D41" s="409"/>
      <c r="E41" s="410"/>
      <c r="F41" s="410"/>
      <c r="H41" s="457"/>
      <c r="J41" s="457"/>
      <c r="K41" s="457"/>
      <c r="L41" s="457"/>
      <c r="M41" s="457"/>
      <c r="N41" s="457"/>
    </row>
    <row r="42" spans="1:15" s="433" customFormat="1">
      <c r="A42" s="412"/>
      <c r="B42" s="409"/>
      <c r="C42" s="409"/>
      <c r="D42" s="409"/>
      <c r="E42" s="410"/>
      <c r="F42" s="410"/>
      <c r="H42" s="457"/>
      <c r="J42" s="457"/>
      <c r="K42" s="457"/>
      <c r="L42" s="457"/>
      <c r="M42" s="457"/>
      <c r="N42" s="457"/>
    </row>
    <row r="43" spans="1:15" s="433" customFormat="1">
      <c r="A43" s="412"/>
      <c r="B43" s="409"/>
      <c r="C43" s="409"/>
      <c r="D43" s="409"/>
      <c r="E43" s="410"/>
      <c r="F43" s="410"/>
      <c r="H43" s="457"/>
      <c r="J43" s="457"/>
      <c r="K43" s="457"/>
      <c r="L43" s="457"/>
      <c r="M43" s="457"/>
      <c r="N43" s="457"/>
    </row>
    <row r="44" spans="1:15" s="433" customFormat="1">
      <c r="A44" s="412"/>
      <c r="B44" s="409"/>
      <c r="C44" s="409"/>
      <c r="D44" s="409"/>
      <c r="E44" s="410"/>
      <c r="F44" s="410"/>
      <c r="H44" s="457"/>
      <c r="J44" s="457"/>
      <c r="K44" s="457"/>
      <c r="L44" s="457"/>
      <c r="M44" s="457"/>
      <c r="N44" s="457"/>
    </row>
    <row r="45" spans="1:15" s="433" customFormat="1">
      <c r="A45" s="412"/>
      <c r="B45" s="409"/>
      <c r="C45" s="409"/>
      <c r="D45" s="409"/>
      <c r="E45" s="410"/>
      <c r="F45" s="410"/>
      <c r="H45" s="457"/>
      <c r="J45" s="457"/>
      <c r="K45" s="457"/>
      <c r="L45" s="457"/>
      <c r="M45" s="457"/>
      <c r="N45" s="457"/>
    </row>
    <row r="46" spans="1:15" s="433" customFormat="1">
      <c r="A46" s="412"/>
      <c r="B46" s="409"/>
      <c r="C46" s="409"/>
      <c r="D46" s="409"/>
      <c r="E46" s="410"/>
      <c r="F46" s="410"/>
      <c r="H46" s="457"/>
      <c r="J46" s="457"/>
      <c r="K46" s="457"/>
      <c r="L46" s="457"/>
      <c r="M46" s="457"/>
      <c r="N46" s="457"/>
    </row>
    <row r="47" spans="1:15" s="433" customFormat="1">
      <c r="A47" s="412"/>
      <c r="B47" s="409"/>
      <c r="C47" s="409"/>
      <c r="D47" s="409"/>
      <c r="E47" s="410"/>
      <c r="F47" s="410"/>
      <c r="H47" s="457"/>
      <c r="J47" s="457"/>
      <c r="K47" s="457"/>
      <c r="L47" s="457"/>
      <c r="M47" s="457"/>
      <c r="N47" s="457"/>
    </row>
    <row r="48" spans="1:15" s="433" customFormat="1">
      <c r="A48" s="412"/>
      <c r="B48" s="409"/>
      <c r="C48" s="409"/>
      <c r="D48" s="409"/>
      <c r="E48" s="410"/>
      <c r="F48" s="410"/>
      <c r="H48" s="457"/>
      <c r="J48" s="457"/>
      <c r="K48" s="457"/>
      <c r="L48" s="457"/>
      <c r="M48" s="457"/>
      <c r="N48" s="457"/>
    </row>
    <row r="49" spans="1:14" s="433" customFormat="1">
      <c r="A49" s="412"/>
      <c r="B49" s="409"/>
      <c r="C49" s="409"/>
      <c r="D49" s="409"/>
      <c r="E49" s="410"/>
      <c r="F49" s="410"/>
      <c r="H49" s="457"/>
      <c r="J49" s="457"/>
      <c r="K49" s="457"/>
      <c r="L49" s="457"/>
      <c r="M49" s="457"/>
      <c r="N49" s="457"/>
    </row>
    <row r="50" spans="1:14" s="433" customFormat="1">
      <c r="A50" s="412"/>
      <c r="B50" s="409"/>
      <c r="C50" s="409"/>
      <c r="D50" s="409"/>
      <c r="E50" s="410"/>
      <c r="F50" s="410"/>
      <c r="H50" s="457"/>
      <c r="J50" s="457"/>
      <c r="K50" s="457"/>
      <c r="L50" s="457"/>
      <c r="M50" s="457"/>
      <c r="N50" s="457"/>
    </row>
    <row r="51" spans="1:14" s="433" customFormat="1">
      <c r="A51" s="412"/>
      <c r="B51" s="409"/>
      <c r="C51" s="409"/>
      <c r="D51" s="409"/>
      <c r="E51" s="410"/>
      <c r="F51" s="410"/>
      <c r="H51" s="457"/>
      <c r="J51" s="457"/>
      <c r="K51" s="457"/>
      <c r="L51" s="457"/>
      <c r="M51" s="457"/>
      <c r="N51" s="457"/>
    </row>
    <row r="52" spans="1:14" s="433" customFormat="1">
      <c r="A52" s="412"/>
      <c r="B52" s="409"/>
      <c r="C52" s="409"/>
      <c r="D52" s="409"/>
      <c r="E52" s="410"/>
      <c r="F52" s="410"/>
      <c r="H52" s="457"/>
      <c r="J52" s="457"/>
      <c r="K52" s="457"/>
      <c r="L52" s="457"/>
      <c r="M52" s="457"/>
      <c r="N52" s="457"/>
    </row>
    <row r="53" spans="1:14" s="433" customFormat="1">
      <c r="A53" s="412"/>
      <c r="B53" s="409"/>
      <c r="C53" s="409"/>
      <c r="D53" s="409"/>
      <c r="E53" s="410"/>
      <c r="F53" s="410"/>
      <c r="H53" s="457"/>
      <c r="J53" s="457"/>
      <c r="K53" s="457"/>
      <c r="L53" s="457"/>
      <c r="M53" s="457"/>
      <c r="N53" s="457"/>
    </row>
    <row r="54" spans="1:14" s="433" customFormat="1">
      <c r="A54" s="412"/>
      <c r="B54" s="409"/>
      <c r="C54" s="409"/>
      <c r="D54" s="409"/>
      <c r="E54" s="410"/>
      <c r="F54" s="410"/>
      <c r="H54" s="457"/>
      <c r="J54" s="457"/>
      <c r="K54" s="457"/>
      <c r="L54" s="457"/>
      <c r="M54" s="457"/>
      <c r="N54" s="457"/>
    </row>
    <row r="55" spans="1:14" s="433" customFormat="1">
      <c r="A55" s="412"/>
      <c r="B55" s="409"/>
      <c r="C55" s="409"/>
      <c r="D55" s="409"/>
      <c r="E55" s="410"/>
      <c r="F55" s="410"/>
      <c r="H55" s="457"/>
      <c r="J55" s="457"/>
      <c r="K55" s="457"/>
      <c r="L55" s="457"/>
      <c r="M55" s="457"/>
      <c r="N55" s="457"/>
    </row>
    <row r="56" spans="1:14" s="433" customFormat="1">
      <c r="A56" s="412"/>
      <c r="B56" s="409"/>
      <c r="C56" s="409"/>
      <c r="D56" s="409"/>
      <c r="E56" s="410"/>
      <c r="F56" s="410"/>
      <c r="H56" s="457"/>
      <c r="J56" s="457"/>
      <c r="K56" s="457"/>
      <c r="L56" s="457"/>
      <c r="M56" s="457"/>
      <c r="N56" s="457"/>
    </row>
    <row r="57" spans="1:14" s="433" customFormat="1">
      <c r="A57" s="412"/>
      <c r="B57" s="409"/>
      <c r="C57" s="409"/>
      <c r="D57" s="409"/>
      <c r="E57" s="410"/>
      <c r="F57" s="410"/>
      <c r="H57" s="457"/>
      <c r="J57" s="457"/>
      <c r="K57" s="457"/>
      <c r="L57" s="457"/>
      <c r="M57" s="457"/>
      <c r="N57" s="457"/>
    </row>
    <row r="58" spans="1:14" s="433" customFormat="1">
      <c r="A58" s="412"/>
      <c r="B58" s="409"/>
      <c r="C58" s="409"/>
      <c r="D58" s="409"/>
      <c r="E58" s="410"/>
      <c r="F58" s="410"/>
      <c r="H58" s="457"/>
      <c r="J58" s="457"/>
      <c r="K58" s="457"/>
      <c r="L58" s="457"/>
      <c r="M58" s="457"/>
      <c r="N58" s="457"/>
    </row>
    <row r="59" spans="1:14" s="433" customFormat="1">
      <c r="A59" s="412"/>
      <c r="B59" s="409"/>
      <c r="C59" s="409"/>
      <c r="D59" s="409"/>
      <c r="E59" s="410"/>
      <c r="F59" s="410"/>
      <c r="H59" s="457"/>
      <c r="J59" s="457"/>
      <c r="K59" s="457"/>
      <c r="L59" s="457"/>
      <c r="M59" s="457"/>
      <c r="N59" s="457"/>
    </row>
    <row r="60" spans="1:14" s="433" customFormat="1">
      <c r="A60" s="412"/>
      <c r="B60" s="409"/>
      <c r="C60" s="409"/>
      <c r="D60" s="409"/>
      <c r="E60" s="410"/>
      <c r="F60" s="410"/>
      <c r="H60" s="457"/>
      <c r="J60" s="457"/>
      <c r="K60" s="457"/>
      <c r="L60" s="457"/>
      <c r="M60" s="457"/>
      <c r="N60" s="457"/>
    </row>
    <row r="61" spans="1:14" s="433" customFormat="1">
      <c r="A61" s="412"/>
      <c r="B61" s="409"/>
      <c r="C61" s="409"/>
      <c r="D61" s="409"/>
      <c r="E61" s="410"/>
      <c r="F61" s="410"/>
      <c r="H61" s="457"/>
      <c r="J61" s="457"/>
      <c r="K61" s="457"/>
      <c r="L61" s="457"/>
      <c r="M61" s="457"/>
      <c r="N61" s="457"/>
    </row>
    <row r="62" spans="1:14" s="433" customFormat="1">
      <c r="A62" s="412"/>
      <c r="B62" s="409"/>
      <c r="C62" s="409"/>
      <c r="D62" s="409"/>
      <c r="E62" s="410"/>
      <c r="F62" s="410"/>
      <c r="H62" s="457"/>
      <c r="J62" s="457"/>
      <c r="K62" s="457"/>
      <c r="L62" s="457"/>
      <c r="M62" s="457"/>
      <c r="N62" s="457"/>
    </row>
    <row r="63" spans="1:14" s="433" customFormat="1">
      <c r="A63" s="412"/>
      <c r="B63" s="409"/>
      <c r="C63" s="409"/>
      <c r="D63" s="409"/>
      <c r="E63" s="410"/>
      <c r="F63" s="410"/>
      <c r="H63" s="457"/>
      <c r="J63" s="457"/>
      <c r="K63" s="457"/>
      <c r="L63" s="457"/>
      <c r="M63" s="457"/>
      <c r="N63" s="457"/>
    </row>
    <row r="64" spans="1:14" s="433" customFormat="1">
      <c r="A64" s="412"/>
      <c r="B64" s="409"/>
      <c r="C64" s="409"/>
      <c r="D64" s="409"/>
      <c r="E64" s="410"/>
      <c r="F64" s="410"/>
      <c r="H64" s="457"/>
      <c r="J64" s="457"/>
      <c r="K64" s="457"/>
      <c r="L64" s="457"/>
      <c r="M64" s="457"/>
      <c r="N64" s="457"/>
    </row>
    <row r="65" spans="1:14" s="433" customFormat="1">
      <c r="A65" s="412"/>
      <c r="B65" s="409"/>
      <c r="C65" s="409"/>
      <c r="D65" s="409"/>
      <c r="E65" s="410"/>
      <c r="F65" s="410"/>
      <c r="H65" s="457"/>
      <c r="J65" s="457"/>
      <c r="K65" s="457"/>
      <c r="L65" s="457"/>
      <c r="M65" s="457"/>
      <c r="N65" s="457"/>
    </row>
    <row r="66" spans="1:14" s="433" customFormat="1">
      <c r="A66" s="412"/>
      <c r="B66" s="409"/>
      <c r="C66" s="409"/>
      <c r="D66" s="409"/>
      <c r="E66" s="410"/>
      <c r="F66" s="410"/>
      <c r="H66" s="457"/>
      <c r="J66" s="457"/>
      <c r="K66" s="457"/>
      <c r="L66" s="457"/>
      <c r="M66" s="457"/>
      <c r="N66" s="457"/>
    </row>
    <row r="67" spans="1:14" s="433" customFormat="1">
      <c r="A67" s="412"/>
      <c r="B67" s="409"/>
      <c r="C67" s="409"/>
      <c r="D67" s="409"/>
      <c r="E67" s="410"/>
      <c r="F67" s="410"/>
      <c r="H67" s="457"/>
      <c r="J67" s="457"/>
      <c r="K67" s="457"/>
      <c r="L67" s="457"/>
      <c r="M67" s="457"/>
      <c r="N67" s="457"/>
    </row>
  </sheetData>
  <mergeCells count="48">
    <mergeCell ref="A13:A17"/>
    <mergeCell ref="B9:D9"/>
    <mergeCell ref="B10:D10"/>
    <mergeCell ref="B11:D11"/>
    <mergeCell ref="B12:D12"/>
    <mergeCell ref="B13:D13"/>
    <mergeCell ref="B14:D14"/>
    <mergeCell ref="A7:A12"/>
    <mergeCell ref="B7:D7"/>
    <mergeCell ref="B8:D8"/>
    <mergeCell ref="B15:D15"/>
    <mergeCell ref="B16:D16"/>
    <mergeCell ref="B17:D17"/>
    <mergeCell ref="B18:D18"/>
    <mergeCell ref="B19:D19"/>
    <mergeCell ref="A23:A37"/>
    <mergeCell ref="B32:D32"/>
    <mergeCell ref="B35:D35"/>
    <mergeCell ref="B36:D36"/>
    <mergeCell ref="B20:D20"/>
    <mergeCell ref="B21:D21"/>
    <mergeCell ref="B22:D22"/>
    <mergeCell ref="B23:D23"/>
    <mergeCell ref="B24:D24"/>
    <mergeCell ref="A18:A22"/>
    <mergeCell ref="B40:D40"/>
    <mergeCell ref="B38:D38"/>
    <mergeCell ref="B39:D39"/>
    <mergeCell ref="B25:D25"/>
    <mergeCell ref="B26:D26"/>
    <mergeCell ref="B27:D27"/>
    <mergeCell ref="B28:D28"/>
    <mergeCell ref="B29:D29"/>
    <mergeCell ref="B37:D37"/>
    <mergeCell ref="A3:O3"/>
    <mergeCell ref="A4:F4"/>
    <mergeCell ref="A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hyperlinks>
    <hyperlink ref="A1" location="turinys!A1" display="Grįžti į turinį"/>
  </hyperlinks>
  <pageMargins left="0.23622047244094491" right="0.11811023622047245" top="0.15748031496062992" bottom="0.19685039370078741" header="0.15748031496062992" footer="0.19685039370078741"/>
  <pageSetup paperSize="9" scale="95" orientation="portrait" horizontalDpi="300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132"/>
  <sheetViews>
    <sheetView workbookViewId="0">
      <selection activeCell="C37" sqref="C37"/>
    </sheetView>
  </sheetViews>
  <sheetFormatPr defaultRowHeight="12.75"/>
  <cols>
    <col min="1" max="2" width="9.140625" style="21"/>
    <col min="3" max="3" width="35.7109375" style="21" customWidth="1"/>
    <col min="4" max="4" width="11.5703125" style="21" customWidth="1"/>
    <col min="5" max="6" width="9.140625" style="21"/>
    <col min="7" max="7" width="3.5703125" style="21" customWidth="1"/>
    <col min="8" max="8" width="4.140625" style="21" customWidth="1"/>
    <col min="9" max="9" width="6.28515625" style="21" customWidth="1"/>
    <col min="10" max="258" width="9.140625" style="21"/>
    <col min="259" max="259" width="35.7109375" style="21" customWidth="1"/>
    <col min="260" max="260" width="11.5703125" style="21" customWidth="1"/>
    <col min="261" max="262" width="9.140625" style="21"/>
    <col min="263" max="263" width="3.5703125" style="21" customWidth="1"/>
    <col min="264" max="264" width="4.140625" style="21" customWidth="1"/>
    <col min="265" max="265" width="6.28515625" style="21" customWidth="1"/>
    <col min="266" max="514" width="9.140625" style="21"/>
    <col min="515" max="515" width="35.7109375" style="21" customWidth="1"/>
    <col min="516" max="516" width="11.5703125" style="21" customWidth="1"/>
    <col min="517" max="518" width="9.140625" style="21"/>
    <col min="519" max="519" width="3.5703125" style="21" customWidth="1"/>
    <col min="520" max="520" width="4.140625" style="21" customWidth="1"/>
    <col min="521" max="521" width="6.28515625" style="21" customWidth="1"/>
    <col min="522" max="770" width="9.140625" style="21"/>
    <col min="771" max="771" width="35.7109375" style="21" customWidth="1"/>
    <col min="772" max="772" width="11.5703125" style="21" customWidth="1"/>
    <col min="773" max="774" width="9.140625" style="21"/>
    <col min="775" max="775" width="3.5703125" style="21" customWidth="1"/>
    <col min="776" max="776" width="4.140625" style="21" customWidth="1"/>
    <col min="777" max="777" width="6.28515625" style="21" customWidth="1"/>
    <col min="778" max="1026" width="9.140625" style="21"/>
    <col min="1027" max="1027" width="35.7109375" style="21" customWidth="1"/>
    <col min="1028" max="1028" width="11.5703125" style="21" customWidth="1"/>
    <col min="1029" max="1030" width="9.140625" style="21"/>
    <col min="1031" max="1031" width="3.5703125" style="21" customWidth="1"/>
    <col min="1032" max="1032" width="4.140625" style="21" customWidth="1"/>
    <col min="1033" max="1033" width="6.28515625" style="21" customWidth="1"/>
    <col min="1034" max="1282" width="9.140625" style="21"/>
    <col min="1283" max="1283" width="35.7109375" style="21" customWidth="1"/>
    <col min="1284" max="1284" width="11.5703125" style="21" customWidth="1"/>
    <col min="1285" max="1286" width="9.140625" style="21"/>
    <col min="1287" max="1287" width="3.5703125" style="21" customWidth="1"/>
    <col min="1288" max="1288" width="4.140625" style="21" customWidth="1"/>
    <col min="1289" max="1289" width="6.28515625" style="21" customWidth="1"/>
    <col min="1290" max="1538" width="9.140625" style="21"/>
    <col min="1539" max="1539" width="35.7109375" style="21" customWidth="1"/>
    <col min="1540" max="1540" width="11.5703125" style="21" customWidth="1"/>
    <col min="1541" max="1542" width="9.140625" style="21"/>
    <col min="1543" max="1543" width="3.5703125" style="21" customWidth="1"/>
    <col min="1544" max="1544" width="4.140625" style="21" customWidth="1"/>
    <col min="1545" max="1545" width="6.28515625" style="21" customWidth="1"/>
    <col min="1546" max="1794" width="9.140625" style="21"/>
    <col min="1795" max="1795" width="35.7109375" style="21" customWidth="1"/>
    <col min="1796" max="1796" width="11.5703125" style="21" customWidth="1"/>
    <col min="1797" max="1798" width="9.140625" style="21"/>
    <col min="1799" max="1799" width="3.5703125" style="21" customWidth="1"/>
    <col min="1800" max="1800" width="4.140625" style="21" customWidth="1"/>
    <col min="1801" max="1801" width="6.28515625" style="21" customWidth="1"/>
    <col min="1802" max="2050" width="9.140625" style="21"/>
    <col min="2051" max="2051" width="35.7109375" style="21" customWidth="1"/>
    <col min="2052" max="2052" width="11.5703125" style="21" customWidth="1"/>
    <col min="2053" max="2054" width="9.140625" style="21"/>
    <col min="2055" max="2055" width="3.5703125" style="21" customWidth="1"/>
    <col min="2056" max="2056" width="4.140625" style="21" customWidth="1"/>
    <col min="2057" max="2057" width="6.28515625" style="21" customWidth="1"/>
    <col min="2058" max="2306" width="9.140625" style="21"/>
    <col min="2307" max="2307" width="35.7109375" style="21" customWidth="1"/>
    <col min="2308" max="2308" width="11.5703125" style="21" customWidth="1"/>
    <col min="2309" max="2310" width="9.140625" style="21"/>
    <col min="2311" max="2311" width="3.5703125" style="21" customWidth="1"/>
    <col min="2312" max="2312" width="4.140625" style="21" customWidth="1"/>
    <col min="2313" max="2313" width="6.28515625" style="21" customWidth="1"/>
    <col min="2314" max="2562" width="9.140625" style="21"/>
    <col min="2563" max="2563" width="35.7109375" style="21" customWidth="1"/>
    <col min="2564" max="2564" width="11.5703125" style="21" customWidth="1"/>
    <col min="2565" max="2566" width="9.140625" style="21"/>
    <col min="2567" max="2567" width="3.5703125" style="21" customWidth="1"/>
    <col min="2568" max="2568" width="4.140625" style="21" customWidth="1"/>
    <col min="2569" max="2569" width="6.28515625" style="21" customWidth="1"/>
    <col min="2570" max="2818" width="9.140625" style="21"/>
    <col min="2819" max="2819" width="35.7109375" style="21" customWidth="1"/>
    <col min="2820" max="2820" width="11.5703125" style="21" customWidth="1"/>
    <col min="2821" max="2822" width="9.140625" style="21"/>
    <col min="2823" max="2823" width="3.5703125" style="21" customWidth="1"/>
    <col min="2824" max="2824" width="4.140625" style="21" customWidth="1"/>
    <col min="2825" max="2825" width="6.28515625" style="21" customWidth="1"/>
    <col min="2826" max="3074" width="9.140625" style="21"/>
    <col min="3075" max="3075" width="35.7109375" style="21" customWidth="1"/>
    <col min="3076" max="3076" width="11.5703125" style="21" customWidth="1"/>
    <col min="3077" max="3078" width="9.140625" style="21"/>
    <col min="3079" max="3079" width="3.5703125" style="21" customWidth="1"/>
    <col min="3080" max="3080" width="4.140625" style="21" customWidth="1"/>
    <col min="3081" max="3081" width="6.28515625" style="21" customWidth="1"/>
    <col min="3082" max="3330" width="9.140625" style="21"/>
    <col min="3331" max="3331" width="35.7109375" style="21" customWidth="1"/>
    <col min="3332" max="3332" width="11.5703125" style="21" customWidth="1"/>
    <col min="3333" max="3334" width="9.140625" style="21"/>
    <col min="3335" max="3335" width="3.5703125" style="21" customWidth="1"/>
    <col min="3336" max="3336" width="4.140625" style="21" customWidth="1"/>
    <col min="3337" max="3337" width="6.28515625" style="21" customWidth="1"/>
    <col min="3338" max="3586" width="9.140625" style="21"/>
    <col min="3587" max="3587" width="35.7109375" style="21" customWidth="1"/>
    <col min="3588" max="3588" width="11.5703125" style="21" customWidth="1"/>
    <col min="3589" max="3590" width="9.140625" style="21"/>
    <col min="3591" max="3591" width="3.5703125" style="21" customWidth="1"/>
    <col min="3592" max="3592" width="4.140625" style="21" customWidth="1"/>
    <col min="3593" max="3593" width="6.28515625" style="21" customWidth="1"/>
    <col min="3594" max="3842" width="9.140625" style="21"/>
    <col min="3843" max="3843" width="35.7109375" style="21" customWidth="1"/>
    <col min="3844" max="3844" width="11.5703125" style="21" customWidth="1"/>
    <col min="3845" max="3846" width="9.140625" style="21"/>
    <col min="3847" max="3847" width="3.5703125" style="21" customWidth="1"/>
    <col min="3848" max="3848" width="4.140625" style="21" customWidth="1"/>
    <col min="3849" max="3849" width="6.28515625" style="21" customWidth="1"/>
    <col min="3850" max="4098" width="9.140625" style="21"/>
    <col min="4099" max="4099" width="35.7109375" style="21" customWidth="1"/>
    <col min="4100" max="4100" width="11.5703125" style="21" customWidth="1"/>
    <col min="4101" max="4102" width="9.140625" style="21"/>
    <col min="4103" max="4103" width="3.5703125" style="21" customWidth="1"/>
    <col min="4104" max="4104" width="4.140625" style="21" customWidth="1"/>
    <col min="4105" max="4105" width="6.28515625" style="21" customWidth="1"/>
    <col min="4106" max="4354" width="9.140625" style="21"/>
    <col min="4355" max="4355" width="35.7109375" style="21" customWidth="1"/>
    <col min="4356" max="4356" width="11.5703125" style="21" customWidth="1"/>
    <col min="4357" max="4358" width="9.140625" style="21"/>
    <col min="4359" max="4359" width="3.5703125" style="21" customWidth="1"/>
    <col min="4360" max="4360" width="4.140625" style="21" customWidth="1"/>
    <col min="4361" max="4361" width="6.28515625" style="21" customWidth="1"/>
    <col min="4362" max="4610" width="9.140625" style="21"/>
    <col min="4611" max="4611" width="35.7109375" style="21" customWidth="1"/>
    <col min="4612" max="4612" width="11.5703125" style="21" customWidth="1"/>
    <col min="4613" max="4614" width="9.140625" style="21"/>
    <col min="4615" max="4615" width="3.5703125" style="21" customWidth="1"/>
    <col min="4616" max="4616" width="4.140625" style="21" customWidth="1"/>
    <col min="4617" max="4617" width="6.28515625" style="21" customWidth="1"/>
    <col min="4618" max="4866" width="9.140625" style="21"/>
    <col min="4867" max="4867" width="35.7109375" style="21" customWidth="1"/>
    <col min="4868" max="4868" width="11.5703125" style="21" customWidth="1"/>
    <col min="4869" max="4870" width="9.140625" style="21"/>
    <col min="4871" max="4871" width="3.5703125" style="21" customWidth="1"/>
    <col min="4872" max="4872" width="4.140625" style="21" customWidth="1"/>
    <col min="4873" max="4873" width="6.28515625" style="21" customWidth="1"/>
    <col min="4874" max="5122" width="9.140625" style="21"/>
    <col min="5123" max="5123" width="35.7109375" style="21" customWidth="1"/>
    <col min="5124" max="5124" width="11.5703125" style="21" customWidth="1"/>
    <col min="5125" max="5126" width="9.140625" style="21"/>
    <col min="5127" max="5127" width="3.5703125" style="21" customWidth="1"/>
    <col min="5128" max="5128" width="4.140625" style="21" customWidth="1"/>
    <col min="5129" max="5129" width="6.28515625" style="21" customWidth="1"/>
    <col min="5130" max="5378" width="9.140625" style="21"/>
    <col min="5379" max="5379" width="35.7109375" style="21" customWidth="1"/>
    <col min="5380" max="5380" width="11.5703125" style="21" customWidth="1"/>
    <col min="5381" max="5382" width="9.140625" style="21"/>
    <col min="5383" max="5383" width="3.5703125" style="21" customWidth="1"/>
    <col min="5384" max="5384" width="4.140625" style="21" customWidth="1"/>
    <col min="5385" max="5385" width="6.28515625" style="21" customWidth="1"/>
    <col min="5386" max="5634" width="9.140625" style="21"/>
    <col min="5635" max="5635" width="35.7109375" style="21" customWidth="1"/>
    <col min="5636" max="5636" width="11.5703125" style="21" customWidth="1"/>
    <col min="5637" max="5638" width="9.140625" style="21"/>
    <col min="5639" max="5639" width="3.5703125" style="21" customWidth="1"/>
    <col min="5640" max="5640" width="4.140625" style="21" customWidth="1"/>
    <col min="5641" max="5641" width="6.28515625" style="21" customWidth="1"/>
    <col min="5642" max="5890" width="9.140625" style="21"/>
    <col min="5891" max="5891" width="35.7109375" style="21" customWidth="1"/>
    <col min="5892" max="5892" width="11.5703125" style="21" customWidth="1"/>
    <col min="5893" max="5894" width="9.140625" style="21"/>
    <col min="5895" max="5895" width="3.5703125" style="21" customWidth="1"/>
    <col min="5896" max="5896" width="4.140625" style="21" customWidth="1"/>
    <col min="5897" max="5897" width="6.28515625" style="21" customWidth="1"/>
    <col min="5898" max="6146" width="9.140625" style="21"/>
    <col min="6147" max="6147" width="35.7109375" style="21" customWidth="1"/>
    <col min="6148" max="6148" width="11.5703125" style="21" customWidth="1"/>
    <col min="6149" max="6150" width="9.140625" style="21"/>
    <col min="6151" max="6151" width="3.5703125" style="21" customWidth="1"/>
    <col min="6152" max="6152" width="4.140625" style="21" customWidth="1"/>
    <col min="6153" max="6153" width="6.28515625" style="21" customWidth="1"/>
    <col min="6154" max="6402" width="9.140625" style="21"/>
    <col min="6403" max="6403" width="35.7109375" style="21" customWidth="1"/>
    <col min="6404" max="6404" width="11.5703125" style="21" customWidth="1"/>
    <col min="6405" max="6406" width="9.140625" style="21"/>
    <col min="6407" max="6407" width="3.5703125" style="21" customWidth="1"/>
    <col min="6408" max="6408" width="4.140625" style="21" customWidth="1"/>
    <col min="6409" max="6409" width="6.28515625" style="21" customWidth="1"/>
    <col min="6410" max="6658" width="9.140625" style="21"/>
    <col min="6659" max="6659" width="35.7109375" style="21" customWidth="1"/>
    <col min="6660" max="6660" width="11.5703125" style="21" customWidth="1"/>
    <col min="6661" max="6662" width="9.140625" style="21"/>
    <col min="6663" max="6663" width="3.5703125" style="21" customWidth="1"/>
    <col min="6664" max="6664" width="4.140625" style="21" customWidth="1"/>
    <col min="6665" max="6665" width="6.28515625" style="21" customWidth="1"/>
    <col min="6666" max="6914" width="9.140625" style="21"/>
    <col min="6915" max="6915" width="35.7109375" style="21" customWidth="1"/>
    <col min="6916" max="6916" width="11.5703125" style="21" customWidth="1"/>
    <col min="6917" max="6918" width="9.140625" style="21"/>
    <col min="6919" max="6919" width="3.5703125" style="21" customWidth="1"/>
    <col min="6920" max="6920" width="4.140625" style="21" customWidth="1"/>
    <col min="6921" max="6921" width="6.28515625" style="21" customWidth="1"/>
    <col min="6922" max="7170" width="9.140625" style="21"/>
    <col min="7171" max="7171" width="35.7109375" style="21" customWidth="1"/>
    <col min="7172" max="7172" width="11.5703125" style="21" customWidth="1"/>
    <col min="7173" max="7174" width="9.140625" style="21"/>
    <col min="7175" max="7175" width="3.5703125" style="21" customWidth="1"/>
    <col min="7176" max="7176" width="4.140625" style="21" customWidth="1"/>
    <col min="7177" max="7177" width="6.28515625" style="21" customWidth="1"/>
    <col min="7178" max="7426" width="9.140625" style="21"/>
    <col min="7427" max="7427" width="35.7109375" style="21" customWidth="1"/>
    <col min="7428" max="7428" width="11.5703125" style="21" customWidth="1"/>
    <col min="7429" max="7430" width="9.140625" style="21"/>
    <col min="7431" max="7431" width="3.5703125" style="21" customWidth="1"/>
    <col min="7432" max="7432" width="4.140625" style="21" customWidth="1"/>
    <col min="7433" max="7433" width="6.28515625" style="21" customWidth="1"/>
    <col min="7434" max="7682" width="9.140625" style="21"/>
    <col min="7683" max="7683" width="35.7109375" style="21" customWidth="1"/>
    <col min="7684" max="7684" width="11.5703125" style="21" customWidth="1"/>
    <col min="7685" max="7686" width="9.140625" style="21"/>
    <col min="7687" max="7687" width="3.5703125" style="21" customWidth="1"/>
    <col min="7688" max="7688" width="4.140625" style="21" customWidth="1"/>
    <col min="7689" max="7689" width="6.28515625" style="21" customWidth="1"/>
    <col min="7690" max="7938" width="9.140625" style="21"/>
    <col min="7939" max="7939" width="35.7109375" style="21" customWidth="1"/>
    <col min="7940" max="7940" width="11.5703125" style="21" customWidth="1"/>
    <col min="7941" max="7942" width="9.140625" style="21"/>
    <col min="7943" max="7943" width="3.5703125" style="21" customWidth="1"/>
    <col min="7944" max="7944" width="4.140625" style="21" customWidth="1"/>
    <col min="7945" max="7945" width="6.28515625" style="21" customWidth="1"/>
    <col min="7946" max="8194" width="9.140625" style="21"/>
    <col min="8195" max="8195" width="35.7109375" style="21" customWidth="1"/>
    <col min="8196" max="8196" width="11.5703125" style="21" customWidth="1"/>
    <col min="8197" max="8198" width="9.140625" style="21"/>
    <col min="8199" max="8199" width="3.5703125" style="21" customWidth="1"/>
    <col min="8200" max="8200" width="4.140625" style="21" customWidth="1"/>
    <col min="8201" max="8201" width="6.28515625" style="21" customWidth="1"/>
    <col min="8202" max="8450" width="9.140625" style="21"/>
    <col min="8451" max="8451" width="35.7109375" style="21" customWidth="1"/>
    <col min="8452" max="8452" width="11.5703125" style="21" customWidth="1"/>
    <col min="8453" max="8454" width="9.140625" style="21"/>
    <col min="8455" max="8455" width="3.5703125" style="21" customWidth="1"/>
    <col min="8456" max="8456" width="4.140625" style="21" customWidth="1"/>
    <col min="8457" max="8457" width="6.28515625" style="21" customWidth="1"/>
    <col min="8458" max="8706" width="9.140625" style="21"/>
    <col min="8707" max="8707" width="35.7109375" style="21" customWidth="1"/>
    <col min="8708" max="8708" width="11.5703125" style="21" customWidth="1"/>
    <col min="8709" max="8710" width="9.140625" style="21"/>
    <col min="8711" max="8711" width="3.5703125" style="21" customWidth="1"/>
    <col min="8712" max="8712" width="4.140625" style="21" customWidth="1"/>
    <col min="8713" max="8713" width="6.28515625" style="21" customWidth="1"/>
    <col min="8714" max="8962" width="9.140625" style="21"/>
    <col min="8963" max="8963" width="35.7109375" style="21" customWidth="1"/>
    <col min="8964" max="8964" width="11.5703125" style="21" customWidth="1"/>
    <col min="8965" max="8966" width="9.140625" style="21"/>
    <col min="8967" max="8967" width="3.5703125" style="21" customWidth="1"/>
    <col min="8968" max="8968" width="4.140625" style="21" customWidth="1"/>
    <col min="8969" max="8969" width="6.28515625" style="21" customWidth="1"/>
    <col min="8970" max="9218" width="9.140625" style="21"/>
    <col min="9219" max="9219" width="35.7109375" style="21" customWidth="1"/>
    <col min="9220" max="9220" width="11.5703125" style="21" customWidth="1"/>
    <col min="9221" max="9222" width="9.140625" style="21"/>
    <col min="9223" max="9223" width="3.5703125" style="21" customWidth="1"/>
    <col min="9224" max="9224" width="4.140625" style="21" customWidth="1"/>
    <col min="9225" max="9225" width="6.28515625" style="21" customWidth="1"/>
    <col min="9226" max="9474" width="9.140625" style="21"/>
    <col min="9475" max="9475" width="35.7109375" style="21" customWidth="1"/>
    <col min="9476" max="9476" width="11.5703125" style="21" customWidth="1"/>
    <col min="9477" max="9478" width="9.140625" style="21"/>
    <col min="9479" max="9479" width="3.5703125" style="21" customWidth="1"/>
    <col min="9480" max="9480" width="4.140625" style="21" customWidth="1"/>
    <col min="9481" max="9481" width="6.28515625" style="21" customWidth="1"/>
    <col min="9482" max="9730" width="9.140625" style="21"/>
    <col min="9731" max="9731" width="35.7109375" style="21" customWidth="1"/>
    <col min="9732" max="9732" width="11.5703125" style="21" customWidth="1"/>
    <col min="9733" max="9734" width="9.140625" style="21"/>
    <col min="9735" max="9735" width="3.5703125" style="21" customWidth="1"/>
    <col min="9736" max="9736" width="4.140625" style="21" customWidth="1"/>
    <col min="9737" max="9737" width="6.28515625" style="21" customWidth="1"/>
    <col min="9738" max="9986" width="9.140625" style="21"/>
    <col min="9987" max="9987" width="35.7109375" style="21" customWidth="1"/>
    <col min="9988" max="9988" width="11.5703125" style="21" customWidth="1"/>
    <col min="9989" max="9990" width="9.140625" style="21"/>
    <col min="9991" max="9991" width="3.5703125" style="21" customWidth="1"/>
    <col min="9992" max="9992" width="4.140625" style="21" customWidth="1"/>
    <col min="9993" max="9993" width="6.28515625" style="21" customWidth="1"/>
    <col min="9994" max="10242" width="9.140625" style="21"/>
    <col min="10243" max="10243" width="35.7109375" style="21" customWidth="1"/>
    <col min="10244" max="10244" width="11.5703125" style="21" customWidth="1"/>
    <col min="10245" max="10246" width="9.140625" style="21"/>
    <col min="10247" max="10247" width="3.5703125" style="21" customWidth="1"/>
    <col min="10248" max="10248" width="4.140625" style="21" customWidth="1"/>
    <col min="10249" max="10249" width="6.28515625" style="21" customWidth="1"/>
    <col min="10250" max="10498" width="9.140625" style="21"/>
    <col min="10499" max="10499" width="35.7109375" style="21" customWidth="1"/>
    <col min="10500" max="10500" width="11.5703125" style="21" customWidth="1"/>
    <col min="10501" max="10502" width="9.140625" style="21"/>
    <col min="10503" max="10503" width="3.5703125" style="21" customWidth="1"/>
    <col min="10504" max="10504" width="4.140625" style="21" customWidth="1"/>
    <col min="10505" max="10505" width="6.28515625" style="21" customWidth="1"/>
    <col min="10506" max="10754" width="9.140625" style="21"/>
    <col min="10755" max="10755" width="35.7109375" style="21" customWidth="1"/>
    <col min="10756" max="10756" width="11.5703125" style="21" customWidth="1"/>
    <col min="10757" max="10758" width="9.140625" style="21"/>
    <col min="10759" max="10759" width="3.5703125" style="21" customWidth="1"/>
    <col min="10760" max="10760" width="4.140625" style="21" customWidth="1"/>
    <col min="10761" max="10761" width="6.28515625" style="21" customWidth="1"/>
    <col min="10762" max="11010" width="9.140625" style="21"/>
    <col min="11011" max="11011" width="35.7109375" style="21" customWidth="1"/>
    <col min="11012" max="11012" width="11.5703125" style="21" customWidth="1"/>
    <col min="11013" max="11014" width="9.140625" style="21"/>
    <col min="11015" max="11015" width="3.5703125" style="21" customWidth="1"/>
    <col min="11016" max="11016" width="4.140625" style="21" customWidth="1"/>
    <col min="11017" max="11017" width="6.28515625" style="21" customWidth="1"/>
    <col min="11018" max="11266" width="9.140625" style="21"/>
    <col min="11267" max="11267" width="35.7109375" style="21" customWidth="1"/>
    <col min="11268" max="11268" width="11.5703125" style="21" customWidth="1"/>
    <col min="11269" max="11270" width="9.140625" style="21"/>
    <col min="11271" max="11271" width="3.5703125" style="21" customWidth="1"/>
    <col min="11272" max="11272" width="4.140625" style="21" customWidth="1"/>
    <col min="11273" max="11273" width="6.28515625" style="21" customWidth="1"/>
    <col min="11274" max="11522" width="9.140625" style="21"/>
    <col min="11523" max="11523" width="35.7109375" style="21" customWidth="1"/>
    <col min="11524" max="11524" width="11.5703125" style="21" customWidth="1"/>
    <col min="11525" max="11526" width="9.140625" style="21"/>
    <col min="11527" max="11527" width="3.5703125" style="21" customWidth="1"/>
    <col min="11528" max="11528" width="4.140625" style="21" customWidth="1"/>
    <col min="11529" max="11529" width="6.28515625" style="21" customWidth="1"/>
    <col min="11530" max="11778" width="9.140625" style="21"/>
    <col min="11779" max="11779" width="35.7109375" style="21" customWidth="1"/>
    <col min="11780" max="11780" width="11.5703125" style="21" customWidth="1"/>
    <col min="11781" max="11782" width="9.140625" style="21"/>
    <col min="11783" max="11783" width="3.5703125" style="21" customWidth="1"/>
    <col min="11784" max="11784" width="4.140625" style="21" customWidth="1"/>
    <col min="11785" max="11785" width="6.28515625" style="21" customWidth="1"/>
    <col min="11786" max="12034" width="9.140625" style="21"/>
    <col min="12035" max="12035" width="35.7109375" style="21" customWidth="1"/>
    <col min="12036" max="12036" width="11.5703125" style="21" customWidth="1"/>
    <col min="12037" max="12038" width="9.140625" style="21"/>
    <col min="12039" max="12039" width="3.5703125" style="21" customWidth="1"/>
    <col min="12040" max="12040" width="4.140625" style="21" customWidth="1"/>
    <col min="12041" max="12041" width="6.28515625" style="21" customWidth="1"/>
    <col min="12042" max="12290" width="9.140625" style="21"/>
    <col min="12291" max="12291" width="35.7109375" style="21" customWidth="1"/>
    <col min="12292" max="12292" width="11.5703125" style="21" customWidth="1"/>
    <col min="12293" max="12294" width="9.140625" style="21"/>
    <col min="12295" max="12295" width="3.5703125" style="21" customWidth="1"/>
    <col min="12296" max="12296" width="4.140625" style="21" customWidth="1"/>
    <col min="12297" max="12297" width="6.28515625" style="21" customWidth="1"/>
    <col min="12298" max="12546" width="9.140625" style="21"/>
    <col min="12547" max="12547" width="35.7109375" style="21" customWidth="1"/>
    <col min="12548" max="12548" width="11.5703125" style="21" customWidth="1"/>
    <col min="12549" max="12550" width="9.140625" style="21"/>
    <col min="12551" max="12551" width="3.5703125" style="21" customWidth="1"/>
    <col min="12552" max="12552" width="4.140625" style="21" customWidth="1"/>
    <col min="12553" max="12553" width="6.28515625" style="21" customWidth="1"/>
    <col min="12554" max="12802" width="9.140625" style="21"/>
    <col min="12803" max="12803" width="35.7109375" style="21" customWidth="1"/>
    <col min="12804" max="12804" width="11.5703125" style="21" customWidth="1"/>
    <col min="12805" max="12806" width="9.140625" style="21"/>
    <col min="12807" max="12807" width="3.5703125" style="21" customWidth="1"/>
    <col min="12808" max="12808" width="4.140625" style="21" customWidth="1"/>
    <col min="12809" max="12809" width="6.28515625" style="21" customWidth="1"/>
    <col min="12810" max="13058" width="9.140625" style="21"/>
    <col min="13059" max="13059" width="35.7109375" style="21" customWidth="1"/>
    <col min="13060" max="13060" width="11.5703125" style="21" customWidth="1"/>
    <col min="13061" max="13062" width="9.140625" style="21"/>
    <col min="13063" max="13063" width="3.5703125" style="21" customWidth="1"/>
    <col min="13064" max="13064" width="4.140625" style="21" customWidth="1"/>
    <col min="13065" max="13065" width="6.28515625" style="21" customWidth="1"/>
    <col min="13066" max="13314" width="9.140625" style="21"/>
    <col min="13315" max="13315" width="35.7109375" style="21" customWidth="1"/>
    <col min="13316" max="13316" width="11.5703125" style="21" customWidth="1"/>
    <col min="13317" max="13318" width="9.140625" style="21"/>
    <col min="13319" max="13319" width="3.5703125" style="21" customWidth="1"/>
    <col min="13320" max="13320" width="4.140625" style="21" customWidth="1"/>
    <col min="13321" max="13321" width="6.28515625" style="21" customWidth="1"/>
    <col min="13322" max="13570" width="9.140625" style="21"/>
    <col min="13571" max="13571" width="35.7109375" style="21" customWidth="1"/>
    <col min="13572" max="13572" width="11.5703125" style="21" customWidth="1"/>
    <col min="13573" max="13574" width="9.140625" style="21"/>
    <col min="13575" max="13575" width="3.5703125" style="21" customWidth="1"/>
    <col min="13576" max="13576" width="4.140625" style="21" customWidth="1"/>
    <col min="13577" max="13577" width="6.28515625" style="21" customWidth="1"/>
    <col min="13578" max="13826" width="9.140625" style="21"/>
    <col min="13827" max="13827" width="35.7109375" style="21" customWidth="1"/>
    <col min="13828" max="13828" width="11.5703125" style="21" customWidth="1"/>
    <col min="13829" max="13830" width="9.140625" style="21"/>
    <col min="13831" max="13831" width="3.5703125" style="21" customWidth="1"/>
    <col min="13832" max="13832" width="4.140625" style="21" customWidth="1"/>
    <col min="13833" max="13833" width="6.28515625" style="21" customWidth="1"/>
    <col min="13834" max="14082" width="9.140625" style="21"/>
    <col min="14083" max="14083" width="35.7109375" style="21" customWidth="1"/>
    <col min="14084" max="14084" width="11.5703125" style="21" customWidth="1"/>
    <col min="14085" max="14086" width="9.140625" style="21"/>
    <col min="14087" max="14087" width="3.5703125" style="21" customWidth="1"/>
    <col min="14088" max="14088" width="4.140625" style="21" customWidth="1"/>
    <col min="14089" max="14089" width="6.28515625" style="21" customWidth="1"/>
    <col min="14090" max="14338" width="9.140625" style="21"/>
    <col min="14339" max="14339" width="35.7109375" style="21" customWidth="1"/>
    <col min="14340" max="14340" width="11.5703125" style="21" customWidth="1"/>
    <col min="14341" max="14342" width="9.140625" style="21"/>
    <col min="14343" max="14343" width="3.5703125" style="21" customWidth="1"/>
    <col min="14344" max="14344" width="4.140625" style="21" customWidth="1"/>
    <col min="14345" max="14345" width="6.28515625" style="21" customWidth="1"/>
    <col min="14346" max="14594" width="9.140625" style="21"/>
    <col min="14595" max="14595" width="35.7109375" style="21" customWidth="1"/>
    <col min="14596" max="14596" width="11.5703125" style="21" customWidth="1"/>
    <col min="14597" max="14598" width="9.140625" style="21"/>
    <col min="14599" max="14599" width="3.5703125" style="21" customWidth="1"/>
    <col min="14600" max="14600" width="4.140625" style="21" customWidth="1"/>
    <col min="14601" max="14601" width="6.28515625" style="21" customWidth="1"/>
    <col min="14602" max="14850" width="9.140625" style="21"/>
    <col min="14851" max="14851" width="35.7109375" style="21" customWidth="1"/>
    <col min="14852" max="14852" width="11.5703125" style="21" customWidth="1"/>
    <col min="14853" max="14854" width="9.140625" style="21"/>
    <col min="14855" max="14855" width="3.5703125" style="21" customWidth="1"/>
    <col min="14856" max="14856" width="4.140625" style="21" customWidth="1"/>
    <col min="14857" max="14857" width="6.28515625" style="21" customWidth="1"/>
    <col min="14858" max="15106" width="9.140625" style="21"/>
    <col min="15107" max="15107" width="35.7109375" style="21" customWidth="1"/>
    <col min="15108" max="15108" width="11.5703125" style="21" customWidth="1"/>
    <col min="15109" max="15110" width="9.140625" style="21"/>
    <col min="15111" max="15111" width="3.5703125" style="21" customWidth="1"/>
    <col min="15112" max="15112" width="4.140625" style="21" customWidth="1"/>
    <col min="15113" max="15113" width="6.28515625" style="21" customWidth="1"/>
    <col min="15114" max="15362" width="9.140625" style="21"/>
    <col min="15363" max="15363" width="35.7109375" style="21" customWidth="1"/>
    <col min="15364" max="15364" width="11.5703125" style="21" customWidth="1"/>
    <col min="15365" max="15366" width="9.140625" style="21"/>
    <col min="15367" max="15367" width="3.5703125" style="21" customWidth="1"/>
    <col min="15368" max="15368" width="4.140625" style="21" customWidth="1"/>
    <col min="15369" max="15369" width="6.28515625" style="21" customWidth="1"/>
    <col min="15370" max="15618" width="9.140625" style="21"/>
    <col min="15619" max="15619" width="35.7109375" style="21" customWidth="1"/>
    <col min="15620" max="15620" width="11.5703125" style="21" customWidth="1"/>
    <col min="15621" max="15622" width="9.140625" style="21"/>
    <col min="15623" max="15623" width="3.5703125" style="21" customWidth="1"/>
    <col min="15624" max="15624" width="4.140625" style="21" customWidth="1"/>
    <col min="15625" max="15625" width="6.28515625" style="21" customWidth="1"/>
    <col min="15626" max="15874" width="9.140625" style="21"/>
    <col min="15875" max="15875" width="35.7109375" style="21" customWidth="1"/>
    <col min="15876" max="15876" width="11.5703125" style="21" customWidth="1"/>
    <col min="15877" max="15878" width="9.140625" style="21"/>
    <col min="15879" max="15879" width="3.5703125" style="21" customWidth="1"/>
    <col min="15880" max="15880" width="4.140625" style="21" customWidth="1"/>
    <col min="15881" max="15881" width="6.28515625" style="21" customWidth="1"/>
    <col min="15882" max="16130" width="9.140625" style="21"/>
    <col min="16131" max="16131" width="35.7109375" style="21" customWidth="1"/>
    <col min="16132" max="16132" width="11.5703125" style="21" customWidth="1"/>
    <col min="16133" max="16134" width="9.140625" style="21"/>
    <col min="16135" max="16135" width="3.5703125" style="21" customWidth="1"/>
    <col min="16136" max="16136" width="4.140625" style="21" customWidth="1"/>
    <col min="16137" max="16137" width="6.28515625" style="21" customWidth="1"/>
    <col min="16138" max="16384" width="9.140625" style="21"/>
  </cols>
  <sheetData>
    <row r="1" spans="1:11" s="27" customFormat="1" ht="22.5" customHeight="1">
      <c r="A1" s="23" t="s">
        <v>225</v>
      </c>
    </row>
    <row r="2" spans="1:11" ht="7.5" customHeight="1">
      <c r="A2" s="60"/>
      <c r="B2" s="61"/>
      <c r="C2" s="62"/>
    </row>
    <row r="3" spans="1:11">
      <c r="A3" s="150"/>
      <c r="B3" s="150"/>
      <c r="C3" s="150"/>
      <c r="D3" s="150"/>
      <c r="E3" s="150"/>
      <c r="F3" s="150"/>
      <c r="G3" s="150"/>
      <c r="H3" s="150"/>
      <c r="I3" s="150"/>
      <c r="J3" s="150"/>
      <c r="K3" s="150"/>
    </row>
    <row r="4" spans="1:11">
      <c r="A4" s="150"/>
      <c r="B4" s="150"/>
      <c r="C4" s="62"/>
      <c r="D4" s="61"/>
      <c r="E4" s="63"/>
      <c r="F4" s="150"/>
      <c r="G4" s="150"/>
      <c r="H4" s="150"/>
      <c r="I4" s="150"/>
      <c r="J4" s="150"/>
      <c r="K4" s="150"/>
    </row>
    <row r="5" spans="1:11">
      <c r="A5" s="150"/>
      <c r="B5" s="150"/>
      <c r="C5" s="265"/>
      <c r="D5" s="265"/>
      <c r="E5" s="62"/>
      <c r="F5" s="150"/>
      <c r="G5" s="150"/>
      <c r="H5" s="150"/>
      <c r="I5" s="150"/>
      <c r="J5" s="150"/>
      <c r="K5" s="150"/>
    </row>
    <row r="6" spans="1:11">
      <c r="A6" s="150"/>
      <c r="B6" s="150"/>
      <c r="C6" s="265"/>
      <c r="D6" s="265"/>
      <c r="E6" s="62"/>
      <c r="F6" s="150"/>
      <c r="G6" s="150"/>
      <c r="H6" s="150"/>
      <c r="I6" s="150"/>
      <c r="J6" s="150"/>
      <c r="K6" s="150"/>
    </row>
    <row r="7" spans="1:11">
      <c r="A7" s="150"/>
      <c r="B7" s="150"/>
      <c r="C7" s="265"/>
      <c r="D7" s="265" t="s">
        <v>414</v>
      </c>
      <c r="E7" s="62"/>
      <c r="F7" s="150"/>
      <c r="G7" s="150"/>
      <c r="H7" s="150"/>
      <c r="I7" s="150"/>
      <c r="J7" s="150"/>
      <c r="K7" s="150"/>
    </row>
    <row r="8" spans="1:11">
      <c r="A8" s="150"/>
      <c r="B8" s="150"/>
      <c r="C8" s="62" t="s">
        <v>357</v>
      </c>
      <c r="D8" s="266">
        <v>5936.0630000000001</v>
      </c>
      <c r="E8" s="60" t="e">
        <f t="shared" ref="E8:E13" si="0">D8/$D$41*100</f>
        <v>#DIV/0!</v>
      </c>
      <c r="F8" s="150"/>
      <c r="G8" s="150"/>
      <c r="H8" s="150"/>
      <c r="I8" s="150"/>
      <c r="J8" s="150"/>
      <c r="K8" s="150"/>
    </row>
    <row r="9" spans="1:11">
      <c r="A9" s="150"/>
      <c r="B9" s="150"/>
      <c r="C9" s="62" t="s">
        <v>362</v>
      </c>
      <c r="D9" s="266">
        <v>66.447000000000003</v>
      </c>
      <c r="E9" s="60" t="e">
        <f t="shared" si="0"/>
        <v>#DIV/0!</v>
      </c>
      <c r="F9" s="150"/>
      <c r="G9" s="150"/>
      <c r="H9" s="150"/>
      <c r="I9" s="150"/>
      <c r="J9" s="150"/>
      <c r="K9" s="150"/>
    </row>
    <row r="10" spans="1:11">
      <c r="A10" s="150"/>
      <c r="B10" s="150"/>
      <c r="C10" s="62" t="s">
        <v>358</v>
      </c>
      <c r="D10" s="65">
        <v>557.88900000000001</v>
      </c>
      <c r="E10" s="60" t="e">
        <f t="shared" si="0"/>
        <v>#DIV/0!</v>
      </c>
      <c r="F10" s="150"/>
      <c r="G10" s="150"/>
      <c r="H10" s="150"/>
      <c r="I10" s="150"/>
      <c r="J10" s="150"/>
      <c r="K10" s="150"/>
    </row>
    <row r="11" spans="1:11">
      <c r="A11" s="150"/>
      <c r="B11" s="150"/>
      <c r="C11" s="62" t="s">
        <v>359</v>
      </c>
      <c r="D11" s="65">
        <v>8073.4589999999998</v>
      </c>
      <c r="E11" s="60" t="e">
        <f t="shared" si="0"/>
        <v>#DIV/0!</v>
      </c>
      <c r="F11" s="150"/>
      <c r="G11" s="150"/>
      <c r="H11" s="150"/>
      <c r="I11" s="150"/>
      <c r="J11" s="150"/>
      <c r="K11" s="150"/>
    </row>
    <row r="12" spans="1:11">
      <c r="A12" s="150"/>
      <c r="B12" s="150"/>
      <c r="C12" s="62" t="s">
        <v>360</v>
      </c>
      <c r="D12" s="65">
        <v>1671.877</v>
      </c>
      <c r="E12" s="60" t="e">
        <f t="shared" si="0"/>
        <v>#DIV/0!</v>
      </c>
      <c r="F12" s="150"/>
      <c r="G12" s="150"/>
      <c r="H12" s="150"/>
      <c r="I12" s="150"/>
      <c r="J12" s="150"/>
      <c r="K12" s="150"/>
    </row>
    <row r="13" spans="1:11">
      <c r="A13" s="150"/>
      <c r="B13" s="150"/>
      <c r="C13" s="62" t="s">
        <v>361</v>
      </c>
      <c r="D13" s="65">
        <v>529.17899999999997</v>
      </c>
      <c r="E13" s="60" t="e">
        <f t="shared" si="0"/>
        <v>#DIV/0!</v>
      </c>
      <c r="F13" s="150"/>
      <c r="G13" s="150"/>
      <c r="H13" s="150"/>
      <c r="I13" s="150"/>
      <c r="J13" s="150"/>
      <c r="K13" s="150"/>
    </row>
    <row r="14" spans="1:11">
      <c r="A14" s="150"/>
      <c r="B14" s="150"/>
      <c r="C14" s="62" t="s">
        <v>363</v>
      </c>
      <c r="D14" s="60">
        <v>0</v>
      </c>
      <c r="E14" s="150"/>
      <c r="F14" s="150"/>
      <c r="G14" s="150"/>
      <c r="H14" s="150"/>
      <c r="I14" s="150"/>
      <c r="J14" s="150"/>
      <c r="K14" s="150"/>
    </row>
    <row r="15" spans="1:11">
      <c r="A15" s="150"/>
      <c r="B15" s="150"/>
      <c r="C15" s="150"/>
      <c r="D15" s="267">
        <f>SUM(D8:D14)</f>
        <v>16834.914000000001</v>
      </c>
      <c r="E15" s="150"/>
      <c r="F15" s="150"/>
      <c r="G15" s="150"/>
      <c r="H15" s="150"/>
      <c r="I15" s="150"/>
      <c r="J15" s="150"/>
      <c r="K15" s="150"/>
    </row>
    <row r="16" spans="1:11">
      <c r="A16" s="150"/>
      <c r="B16" s="150"/>
      <c r="C16" s="265"/>
      <c r="D16" s="265"/>
      <c r="E16" s="62"/>
      <c r="F16" s="150"/>
      <c r="G16" s="150"/>
      <c r="H16" s="150"/>
      <c r="I16" s="150"/>
      <c r="J16" s="150"/>
      <c r="K16" s="150"/>
    </row>
    <row r="17" spans="1:11">
      <c r="A17" s="150"/>
      <c r="B17" s="150"/>
      <c r="C17" s="62"/>
      <c r="D17" s="265"/>
      <c r="E17" s="62"/>
      <c r="F17" s="150"/>
      <c r="G17" s="150"/>
      <c r="H17" s="150"/>
      <c r="I17" s="150"/>
      <c r="J17" s="150"/>
      <c r="K17" s="150"/>
    </row>
    <row r="18" spans="1:11">
      <c r="A18" s="150"/>
      <c r="B18" s="150"/>
      <c r="C18" s="62"/>
      <c r="D18" s="265"/>
      <c r="E18" s="62"/>
      <c r="F18" s="150"/>
      <c r="G18" s="150"/>
      <c r="H18" s="150"/>
      <c r="I18" s="150"/>
      <c r="J18" s="150"/>
      <c r="K18" s="150"/>
    </row>
    <row r="19" spans="1:11">
      <c r="A19" s="150"/>
      <c r="B19" s="150"/>
      <c r="C19" s="62"/>
      <c r="D19" s="60"/>
      <c r="E19" s="62"/>
      <c r="F19" s="150"/>
      <c r="G19" s="150"/>
      <c r="H19" s="150"/>
      <c r="I19" s="150"/>
      <c r="J19" s="150"/>
      <c r="K19" s="150"/>
    </row>
    <row r="20" spans="1:11">
      <c r="A20" s="150"/>
      <c r="B20" s="150"/>
      <c r="C20" s="62"/>
      <c r="D20" s="60"/>
      <c r="E20" s="62"/>
      <c r="F20" s="150"/>
      <c r="G20" s="150"/>
      <c r="H20" s="150"/>
      <c r="I20" s="150"/>
      <c r="J20" s="150"/>
      <c r="K20" s="150"/>
    </row>
    <row r="21" spans="1:11">
      <c r="A21" s="150"/>
      <c r="B21" s="150"/>
      <c r="C21" s="62"/>
      <c r="D21" s="60"/>
      <c r="E21" s="62"/>
      <c r="F21" s="150"/>
      <c r="G21" s="150"/>
      <c r="H21" s="150"/>
      <c r="I21" s="150"/>
      <c r="J21" s="150"/>
      <c r="K21" s="150"/>
    </row>
    <row r="22" spans="1:11">
      <c r="A22" s="150"/>
      <c r="B22" s="150"/>
      <c r="C22" s="62"/>
      <c r="D22" s="60"/>
      <c r="E22" s="63"/>
      <c r="F22" s="268"/>
      <c r="G22" s="268"/>
      <c r="H22" s="150"/>
      <c r="I22" s="150"/>
      <c r="J22" s="150"/>
      <c r="K22" s="150"/>
    </row>
    <row r="23" spans="1:11">
      <c r="A23" s="150"/>
      <c r="B23" s="150"/>
      <c r="C23" s="62"/>
      <c r="D23" s="60"/>
      <c r="E23" s="150"/>
      <c r="F23" s="150"/>
      <c r="G23" s="150"/>
      <c r="H23" s="150"/>
      <c r="I23" s="150"/>
      <c r="J23" s="150"/>
      <c r="K23" s="150"/>
    </row>
    <row r="24" spans="1:11">
      <c r="A24" s="150"/>
      <c r="B24" s="150"/>
      <c r="C24" s="150"/>
      <c r="D24" s="150"/>
      <c r="E24" s="150"/>
      <c r="F24" s="150"/>
      <c r="G24" s="150"/>
      <c r="H24" s="150"/>
      <c r="I24" s="150"/>
      <c r="J24" s="150"/>
      <c r="K24" s="150"/>
    </row>
    <row r="25" spans="1:11">
      <c r="A25" s="150"/>
      <c r="B25" s="150"/>
      <c r="C25" s="150"/>
      <c r="D25" s="150"/>
      <c r="E25" s="150"/>
      <c r="F25" s="150"/>
      <c r="G25" s="150"/>
      <c r="H25" s="150"/>
      <c r="I25" s="150"/>
      <c r="J25" s="150"/>
      <c r="K25" s="150"/>
    </row>
    <row r="26" spans="1:11">
      <c r="A26" s="150"/>
      <c r="B26" s="150"/>
      <c r="C26" s="150"/>
      <c r="D26" s="150"/>
      <c r="E26" s="150"/>
      <c r="F26" s="150"/>
      <c r="G26" s="150"/>
      <c r="H26" s="150"/>
      <c r="I26" s="150"/>
      <c r="J26" s="150"/>
      <c r="K26" s="150"/>
    </row>
    <row r="27" spans="1:11">
      <c r="A27" s="150"/>
      <c r="B27" s="150"/>
      <c r="C27" s="265"/>
      <c r="D27" s="265"/>
      <c r="E27" s="62"/>
      <c r="F27" s="150"/>
      <c r="G27" s="150"/>
      <c r="H27" s="150"/>
      <c r="I27" s="150"/>
      <c r="J27" s="150"/>
      <c r="K27" s="150"/>
    </row>
    <row r="28" spans="1:11">
      <c r="A28" s="150"/>
      <c r="B28" s="150"/>
      <c r="C28" s="265"/>
      <c r="D28" s="265"/>
      <c r="E28" s="62"/>
      <c r="F28" s="150"/>
      <c r="G28" s="150"/>
      <c r="H28" s="150"/>
      <c r="I28" s="150"/>
      <c r="J28" s="150"/>
      <c r="K28" s="150"/>
    </row>
    <row r="29" spans="1:11">
      <c r="A29" s="150"/>
      <c r="B29" s="150"/>
      <c r="C29" s="265"/>
      <c r="D29" s="60"/>
      <c r="E29" s="62"/>
      <c r="F29" s="150"/>
      <c r="G29" s="150"/>
      <c r="H29" s="150"/>
      <c r="I29" s="150"/>
      <c r="J29" s="150"/>
      <c r="K29" s="150"/>
    </row>
    <row r="30" spans="1:11">
      <c r="A30" s="150"/>
      <c r="B30" s="150"/>
      <c r="C30" s="265"/>
      <c r="D30" s="60"/>
      <c r="E30" s="62"/>
      <c r="F30" s="150"/>
      <c r="G30" s="150"/>
      <c r="H30" s="150"/>
      <c r="I30" s="150"/>
      <c r="J30" s="150"/>
      <c r="K30" s="150"/>
    </row>
    <row r="31" spans="1:11">
      <c r="A31" s="150"/>
      <c r="B31" s="150"/>
      <c r="C31" s="265"/>
      <c r="D31" s="60"/>
      <c r="E31" s="62"/>
      <c r="F31" s="150"/>
      <c r="G31" s="150"/>
      <c r="H31" s="150"/>
      <c r="I31" s="150"/>
      <c r="J31" s="150"/>
      <c r="K31" s="150"/>
    </row>
    <row r="32" spans="1:11">
      <c r="A32" s="150"/>
      <c r="B32" s="150"/>
      <c r="C32" s="265"/>
      <c r="D32" s="60"/>
      <c r="E32" s="62"/>
      <c r="F32" s="150"/>
      <c r="G32" s="150"/>
      <c r="H32" s="150"/>
      <c r="I32" s="150"/>
      <c r="J32" s="150"/>
      <c r="K32" s="150"/>
    </row>
    <row r="33" spans="1:11">
      <c r="A33" s="150"/>
      <c r="B33" s="150"/>
      <c r="C33" s="62"/>
      <c r="D33" s="60"/>
      <c r="E33" s="62"/>
      <c r="F33" s="150"/>
      <c r="G33" s="150"/>
      <c r="H33" s="150"/>
      <c r="I33" s="150"/>
      <c r="J33" s="150"/>
      <c r="K33" s="150"/>
    </row>
    <row r="34" spans="1:11">
      <c r="A34" s="150"/>
      <c r="B34" s="150"/>
      <c r="C34" s="62"/>
      <c r="D34" s="60"/>
      <c r="E34" s="62"/>
      <c r="F34" s="150"/>
      <c r="G34" s="150"/>
      <c r="H34" s="150"/>
      <c r="I34" s="150"/>
      <c r="J34" s="150"/>
      <c r="K34" s="150"/>
    </row>
    <row r="35" spans="1:11">
      <c r="A35" s="150"/>
      <c r="B35" s="150"/>
      <c r="C35" s="60"/>
      <c r="D35" s="62"/>
      <c r="E35" s="62"/>
      <c r="F35" s="150"/>
      <c r="G35" s="150"/>
      <c r="H35" s="150"/>
      <c r="I35" s="150"/>
      <c r="J35" s="150"/>
      <c r="K35" s="150"/>
    </row>
    <row r="36" spans="1:11">
      <c r="A36" s="150"/>
      <c r="B36" s="150"/>
      <c r="C36" s="62"/>
      <c r="D36" s="265"/>
      <c r="E36" s="265"/>
      <c r="F36" s="150"/>
      <c r="G36" s="150"/>
      <c r="H36" s="150"/>
      <c r="I36" s="150"/>
      <c r="J36" s="150"/>
      <c r="K36" s="150"/>
    </row>
    <row r="37" spans="1:11">
      <c r="A37" s="150"/>
      <c r="B37" s="150"/>
      <c r="C37" s="150"/>
      <c r="D37" s="62"/>
      <c r="E37" s="265"/>
      <c r="F37" s="150"/>
      <c r="G37" s="150"/>
      <c r="H37" s="150"/>
      <c r="I37" s="150"/>
      <c r="J37" s="150"/>
      <c r="K37" s="150"/>
    </row>
    <row r="38" spans="1:11">
      <c r="A38" s="150"/>
      <c r="B38" s="150"/>
      <c r="C38" s="150"/>
      <c r="D38" s="62"/>
      <c r="E38" s="265"/>
      <c r="F38" s="150"/>
      <c r="G38" s="150"/>
      <c r="H38" s="150"/>
      <c r="I38" s="150"/>
      <c r="J38" s="150"/>
      <c r="K38" s="150"/>
    </row>
    <row r="39" spans="1:11">
      <c r="A39" s="150"/>
      <c r="B39" s="150"/>
      <c r="C39" s="150"/>
      <c r="D39" s="62"/>
      <c r="E39" s="60"/>
      <c r="F39" s="150"/>
      <c r="G39" s="150"/>
      <c r="H39" s="150"/>
      <c r="I39" s="150"/>
      <c r="J39" s="150"/>
      <c r="K39" s="150"/>
    </row>
    <row r="40" spans="1:11">
      <c r="A40" s="150"/>
      <c r="B40" s="150"/>
      <c r="C40" s="265"/>
      <c r="D40" s="62"/>
      <c r="E40" s="60"/>
      <c r="F40" s="269"/>
      <c r="G40" s="269"/>
      <c r="H40" s="269"/>
      <c r="I40" s="150"/>
      <c r="J40" s="150"/>
      <c r="K40" s="150"/>
    </row>
    <row r="41" spans="1:11">
      <c r="A41" s="150"/>
      <c r="B41" s="150"/>
      <c r="C41" s="265"/>
      <c r="D41" s="62"/>
      <c r="E41" s="60"/>
      <c r="F41" s="269"/>
      <c r="G41" s="269"/>
      <c r="H41" s="269"/>
      <c r="I41" s="269"/>
      <c r="J41" s="150"/>
      <c r="K41" s="150"/>
    </row>
    <row r="42" spans="1:11">
      <c r="C42" s="64"/>
      <c r="D42" s="64"/>
      <c r="E42" s="62"/>
    </row>
    <row r="43" spans="1:11">
      <c r="C43" s="62"/>
      <c r="D43" s="64"/>
      <c r="E43" s="62"/>
    </row>
    <row r="44" spans="1:11">
      <c r="C44" s="62"/>
      <c r="D44" s="64"/>
      <c r="E44" s="62"/>
    </row>
    <row r="45" spans="1:11">
      <c r="C45" s="62"/>
      <c r="D45" s="60"/>
      <c r="E45" s="62"/>
    </row>
    <row r="46" spans="1:11">
      <c r="C46" s="62"/>
      <c r="D46" s="60"/>
      <c r="E46" s="62"/>
    </row>
    <row r="47" spans="1:11">
      <c r="C47" s="62"/>
      <c r="D47" s="60"/>
      <c r="E47" s="62"/>
    </row>
    <row r="48" spans="1:11">
      <c r="C48" s="62"/>
      <c r="D48" s="60"/>
      <c r="E48" s="63"/>
      <c r="F48" s="66"/>
      <c r="G48" s="66"/>
    </row>
    <row r="49" spans="3:5">
      <c r="C49" s="62"/>
      <c r="D49" s="60"/>
    </row>
    <row r="53" spans="3:5">
      <c r="C53" s="64"/>
      <c r="D53" s="64"/>
      <c r="E53" s="62"/>
    </row>
    <row r="54" spans="3:5">
      <c r="C54" s="64"/>
      <c r="D54" s="64"/>
      <c r="E54" s="62"/>
    </row>
    <row r="55" spans="3:5">
      <c r="C55" s="64"/>
      <c r="D55" s="60"/>
      <c r="E55" s="62"/>
    </row>
    <row r="56" spans="3:5">
      <c r="C56" s="64"/>
      <c r="D56" s="60"/>
      <c r="E56" s="62"/>
    </row>
    <row r="57" spans="3:5">
      <c r="C57" s="64"/>
      <c r="D57" s="60"/>
      <c r="E57" s="62"/>
    </row>
    <row r="58" spans="3:5">
      <c r="C58" s="64"/>
      <c r="D58" s="60"/>
      <c r="E58" s="62"/>
    </row>
    <row r="59" spans="3:5">
      <c r="C59" s="62"/>
      <c r="D59" s="60"/>
      <c r="E59" s="62"/>
    </row>
    <row r="60" spans="3:5">
      <c r="C60" s="62"/>
      <c r="D60" s="60"/>
      <c r="E60" s="62"/>
    </row>
    <row r="61" spans="3:5">
      <c r="C61" s="60"/>
      <c r="D61" s="62"/>
      <c r="E61" s="62"/>
    </row>
    <row r="62" spans="3:5">
      <c r="C62" s="62"/>
      <c r="D62" s="64"/>
      <c r="E62" s="64"/>
    </row>
    <row r="63" spans="3:5">
      <c r="D63" s="62"/>
      <c r="E63" s="64"/>
    </row>
    <row r="64" spans="3:5">
      <c r="D64" s="62"/>
      <c r="E64" s="64"/>
    </row>
    <row r="65" spans="3:9">
      <c r="D65" s="62"/>
      <c r="E65" s="60"/>
    </row>
    <row r="66" spans="3:9">
      <c r="C66" s="64"/>
      <c r="D66" s="62"/>
      <c r="E66" s="60"/>
      <c r="F66" s="67"/>
      <c r="G66" s="67"/>
      <c r="H66" s="67"/>
    </row>
    <row r="67" spans="3:9">
      <c r="C67" s="64"/>
      <c r="D67" s="62"/>
      <c r="E67" s="60"/>
      <c r="F67" s="67"/>
      <c r="G67" s="67"/>
      <c r="H67" s="67"/>
      <c r="I67" s="67"/>
    </row>
    <row r="68" spans="3:9">
      <c r="C68" s="64"/>
      <c r="D68" s="62"/>
      <c r="E68" s="60"/>
      <c r="F68" s="67"/>
      <c r="G68" s="67"/>
      <c r="H68" s="67"/>
      <c r="I68" s="67"/>
    </row>
    <row r="69" spans="3:9">
      <c r="C69" s="64"/>
      <c r="D69" s="62"/>
      <c r="E69" s="60"/>
      <c r="F69" s="67"/>
      <c r="G69" s="67"/>
      <c r="H69" s="67"/>
      <c r="I69" s="67"/>
    </row>
    <row r="70" spans="3:9">
      <c r="C70" s="64"/>
      <c r="D70" s="60"/>
      <c r="E70" s="68"/>
      <c r="F70" s="67"/>
      <c r="G70" s="67"/>
      <c r="H70" s="67"/>
      <c r="I70" s="67"/>
    </row>
    <row r="71" spans="3:9">
      <c r="C71" s="64"/>
      <c r="D71" s="60"/>
      <c r="E71" s="68"/>
      <c r="F71" s="67"/>
      <c r="G71" s="67"/>
      <c r="H71" s="67"/>
      <c r="I71" s="67"/>
    </row>
    <row r="72" spans="3:9">
      <c r="C72" s="69"/>
      <c r="D72" s="60"/>
      <c r="E72" s="68"/>
      <c r="F72" s="67"/>
      <c r="G72" s="67"/>
      <c r="H72" s="67"/>
      <c r="I72" s="67"/>
    </row>
    <row r="73" spans="3:9">
      <c r="C73" s="60"/>
      <c r="D73" s="60"/>
      <c r="E73" s="67"/>
      <c r="F73" s="67"/>
      <c r="G73" s="67"/>
      <c r="H73" s="67"/>
      <c r="I73" s="67"/>
    </row>
    <row r="86" spans="3:5">
      <c r="D86" s="70"/>
    </row>
    <row r="87" spans="3:5">
      <c r="C87" s="64"/>
      <c r="D87" s="64"/>
      <c r="E87" s="62"/>
    </row>
    <row r="88" spans="3:5">
      <c r="C88" s="64"/>
      <c r="D88" s="64"/>
      <c r="E88" s="62"/>
    </row>
    <row r="89" spans="3:5">
      <c r="C89" s="64"/>
      <c r="D89" s="60"/>
      <c r="E89" s="62"/>
    </row>
    <row r="90" spans="3:5">
      <c r="C90" s="64"/>
      <c r="D90" s="60"/>
      <c r="E90" s="62"/>
    </row>
    <row r="91" spans="3:5">
      <c r="C91" s="64"/>
      <c r="D91" s="60"/>
      <c r="E91" s="62"/>
    </row>
    <row r="92" spans="3:5">
      <c r="C92" s="64"/>
      <c r="D92" s="60"/>
      <c r="E92" s="62"/>
    </row>
    <row r="93" spans="3:5">
      <c r="C93" s="62"/>
      <c r="D93" s="60"/>
      <c r="E93" s="62"/>
    </row>
    <row r="124" spans="3:5">
      <c r="C124" s="62"/>
      <c r="D124" s="61"/>
      <c r="E124" s="63"/>
    </row>
    <row r="125" spans="3:5">
      <c r="C125" s="60"/>
      <c r="D125" s="60"/>
      <c r="E125" s="62"/>
    </row>
    <row r="126" spans="3:5">
      <c r="C126" s="60"/>
      <c r="D126" s="60"/>
      <c r="E126" s="62"/>
    </row>
    <row r="127" spans="3:5">
      <c r="C127" s="60"/>
      <c r="D127" s="60"/>
      <c r="E127" s="62"/>
    </row>
    <row r="128" spans="3:5">
      <c r="C128" s="60"/>
      <c r="D128" s="60"/>
      <c r="E128" s="62"/>
    </row>
    <row r="129" spans="3:5">
      <c r="C129" s="60"/>
      <c r="D129" s="60"/>
      <c r="E129" s="62"/>
    </row>
    <row r="130" spans="3:5">
      <c r="C130" s="60"/>
      <c r="D130" s="60"/>
      <c r="E130" s="62"/>
    </row>
    <row r="131" spans="3:5">
      <c r="C131" s="60"/>
      <c r="D131" s="62"/>
      <c r="E131" s="62"/>
    </row>
    <row r="132" spans="3:5">
      <c r="C132" s="62"/>
      <c r="D132" s="60"/>
    </row>
  </sheetData>
  <hyperlinks>
    <hyperlink ref="A1" location="turinys!A1" display="Grįžti į turinį"/>
  </hyperlinks>
  <pageMargins left="0.56000000000000005" right="0.38" top="0.5" bottom="0.28000000000000003" header="0.5" footer="0.31"/>
  <pageSetup paperSize="9" orientation="portrait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98"/>
  <sheetViews>
    <sheetView workbookViewId="0"/>
  </sheetViews>
  <sheetFormatPr defaultRowHeight="12.75"/>
  <cols>
    <col min="1" max="1" width="27" style="21" customWidth="1"/>
    <col min="2" max="2" width="8.7109375" style="21" customWidth="1"/>
    <col min="3" max="3" width="9.140625" style="21"/>
    <col min="4" max="4" width="10.7109375" style="21" customWidth="1"/>
    <col min="5" max="256" width="9.140625" style="21"/>
    <col min="257" max="257" width="27" style="21" customWidth="1"/>
    <col min="258" max="258" width="8.7109375" style="21" customWidth="1"/>
    <col min="259" max="259" width="9.140625" style="21"/>
    <col min="260" max="260" width="10.7109375" style="21" customWidth="1"/>
    <col min="261" max="512" width="9.140625" style="21"/>
    <col min="513" max="513" width="27" style="21" customWidth="1"/>
    <col min="514" max="514" width="8.7109375" style="21" customWidth="1"/>
    <col min="515" max="515" width="9.140625" style="21"/>
    <col min="516" max="516" width="10.7109375" style="21" customWidth="1"/>
    <col min="517" max="768" width="9.140625" style="21"/>
    <col min="769" max="769" width="27" style="21" customWidth="1"/>
    <col min="770" max="770" width="8.7109375" style="21" customWidth="1"/>
    <col min="771" max="771" width="9.140625" style="21"/>
    <col min="772" max="772" width="10.7109375" style="21" customWidth="1"/>
    <col min="773" max="1024" width="9.140625" style="21"/>
    <col min="1025" max="1025" width="27" style="21" customWidth="1"/>
    <col min="1026" max="1026" width="8.7109375" style="21" customWidth="1"/>
    <col min="1027" max="1027" width="9.140625" style="21"/>
    <col min="1028" max="1028" width="10.7109375" style="21" customWidth="1"/>
    <col min="1029" max="1280" width="9.140625" style="21"/>
    <col min="1281" max="1281" width="27" style="21" customWidth="1"/>
    <col min="1282" max="1282" width="8.7109375" style="21" customWidth="1"/>
    <col min="1283" max="1283" width="9.140625" style="21"/>
    <col min="1284" max="1284" width="10.7109375" style="21" customWidth="1"/>
    <col min="1285" max="1536" width="9.140625" style="21"/>
    <col min="1537" max="1537" width="27" style="21" customWidth="1"/>
    <col min="1538" max="1538" width="8.7109375" style="21" customWidth="1"/>
    <col min="1539" max="1539" width="9.140625" style="21"/>
    <col min="1540" max="1540" width="10.7109375" style="21" customWidth="1"/>
    <col min="1541" max="1792" width="9.140625" style="21"/>
    <col min="1793" max="1793" width="27" style="21" customWidth="1"/>
    <col min="1794" max="1794" width="8.7109375" style="21" customWidth="1"/>
    <col min="1795" max="1795" width="9.140625" style="21"/>
    <col min="1796" max="1796" width="10.7109375" style="21" customWidth="1"/>
    <col min="1797" max="2048" width="9.140625" style="21"/>
    <col min="2049" max="2049" width="27" style="21" customWidth="1"/>
    <col min="2050" max="2050" width="8.7109375" style="21" customWidth="1"/>
    <col min="2051" max="2051" width="9.140625" style="21"/>
    <col min="2052" max="2052" width="10.7109375" style="21" customWidth="1"/>
    <col min="2053" max="2304" width="9.140625" style="21"/>
    <col min="2305" max="2305" width="27" style="21" customWidth="1"/>
    <col min="2306" max="2306" width="8.7109375" style="21" customWidth="1"/>
    <col min="2307" max="2307" width="9.140625" style="21"/>
    <col min="2308" max="2308" width="10.7109375" style="21" customWidth="1"/>
    <col min="2309" max="2560" width="9.140625" style="21"/>
    <col min="2561" max="2561" width="27" style="21" customWidth="1"/>
    <col min="2562" max="2562" width="8.7109375" style="21" customWidth="1"/>
    <col min="2563" max="2563" width="9.140625" style="21"/>
    <col min="2564" max="2564" width="10.7109375" style="21" customWidth="1"/>
    <col min="2565" max="2816" width="9.140625" style="21"/>
    <col min="2817" max="2817" width="27" style="21" customWidth="1"/>
    <col min="2818" max="2818" width="8.7109375" style="21" customWidth="1"/>
    <col min="2819" max="2819" width="9.140625" style="21"/>
    <col min="2820" max="2820" width="10.7109375" style="21" customWidth="1"/>
    <col min="2821" max="3072" width="9.140625" style="21"/>
    <col min="3073" max="3073" width="27" style="21" customWidth="1"/>
    <col min="3074" max="3074" width="8.7109375" style="21" customWidth="1"/>
    <col min="3075" max="3075" width="9.140625" style="21"/>
    <col min="3076" max="3076" width="10.7109375" style="21" customWidth="1"/>
    <col min="3077" max="3328" width="9.140625" style="21"/>
    <col min="3329" max="3329" width="27" style="21" customWidth="1"/>
    <col min="3330" max="3330" width="8.7109375" style="21" customWidth="1"/>
    <col min="3331" max="3331" width="9.140625" style="21"/>
    <col min="3332" max="3332" width="10.7109375" style="21" customWidth="1"/>
    <col min="3333" max="3584" width="9.140625" style="21"/>
    <col min="3585" max="3585" width="27" style="21" customWidth="1"/>
    <col min="3586" max="3586" width="8.7109375" style="21" customWidth="1"/>
    <col min="3587" max="3587" width="9.140625" style="21"/>
    <col min="3588" max="3588" width="10.7109375" style="21" customWidth="1"/>
    <col min="3589" max="3840" width="9.140625" style="21"/>
    <col min="3841" max="3841" width="27" style="21" customWidth="1"/>
    <col min="3842" max="3842" width="8.7109375" style="21" customWidth="1"/>
    <col min="3843" max="3843" width="9.140625" style="21"/>
    <col min="3844" max="3844" width="10.7109375" style="21" customWidth="1"/>
    <col min="3845" max="4096" width="9.140625" style="21"/>
    <col min="4097" max="4097" width="27" style="21" customWidth="1"/>
    <col min="4098" max="4098" width="8.7109375" style="21" customWidth="1"/>
    <col min="4099" max="4099" width="9.140625" style="21"/>
    <col min="4100" max="4100" width="10.7109375" style="21" customWidth="1"/>
    <col min="4101" max="4352" width="9.140625" style="21"/>
    <col min="4353" max="4353" width="27" style="21" customWidth="1"/>
    <col min="4354" max="4354" width="8.7109375" style="21" customWidth="1"/>
    <col min="4355" max="4355" width="9.140625" style="21"/>
    <col min="4356" max="4356" width="10.7109375" style="21" customWidth="1"/>
    <col min="4357" max="4608" width="9.140625" style="21"/>
    <col min="4609" max="4609" width="27" style="21" customWidth="1"/>
    <col min="4610" max="4610" width="8.7109375" style="21" customWidth="1"/>
    <col min="4611" max="4611" width="9.140625" style="21"/>
    <col min="4612" max="4612" width="10.7109375" style="21" customWidth="1"/>
    <col min="4613" max="4864" width="9.140625" style="21"/>
    <col min="4865" max="4865" width="27" style="21" customWidth="1"/>
    <col min="4866" max="4866" width="8.7109375" style="21" customWidth="1"/>
    <col min="4867" max="4867" width="9.140625" style="21"/>
    <col min="4868" max="4868" width="10.7109375" style="21" customWidth="1"/>
    <col min="4869" max="5120" width="9.140625" style="21"/>
    <col min="5121" max="5121" width="27" style="21" customWidth="1"/>
    <col min="5122" max="5122" width="8.7109375" style="21" customWidth="1"/>
    <col min="5123" max="5123" width="9.140625" style="21"/>
    <col min="5124" max="5124" width="10.7109375" style="21" customWidth="1"/>
    <col min="5125" max="5376" width="9.140625" style="21"/>
    <col min="5377" max="5377" width="27" style="21" customWidth="1"/>
    <col min="5378" max="5378" width="8.7109375" style="21" customWidth="1"/>
    <col min="5379" max="5379" width="9.140625" style="21"/>
    <col min="5380" max="5380" width="10.7109375" style="21" customWidth="1"/>
    <col min="5381" max="5632" width="9.140625" style="21"/>
    <col min="5633" max="5633" width="27" style="21" customWidth="1"/>
    <col min="5634" max="5634" width="8.7109375" style="21" customWidth="1"/>
    <col min="5635" max="5635" width="9.140625" style="21"/>
    <col min="5636" max="5636" width="10.7109375" style="21" customWidth="1"/>
    <col min="5637" max="5888" width="9.140625" style="21"/>
    <col min="5889" max="5889" width="27" style="21" customWidth="1"/>
    <col min="5890" max="5890" width="8.7109375" style="21" customWidth="1"/>
    <col min="5891" max="5891" width="9.140625" style="21"/>
    <col min="5892" max="5892" width="10.7109375" style="21" customWidth="1"/>
    <col min="5893" max="6144" width="9.140625" style="21"/>
    <col min="6145" max="6145" width="27" style="21" customWidth="1"/>
    <col min="6146" max="6146" width="8.7109375" style="21" customWidth="1"/>
    <col min="6147" max="6147" width="9.140625" style="21"/>
    <col min="6148" max="6148" width="10.7109375" style="21" customWidth="1"/>
    <col min="6149" max="6400" width="9.140625" style="21"/>
    <col min="6401" max="6401" width="27" style="21" customWidth="1"/>
    <col min="6402" max="6402" width="8.7109375" style="21" customWidth="1"/>
    <col min="6403" max="6403" width="9.140625" style="21"/>
    <col min="6404" max="6404" width="10.7109375" style="21" customWidth="1"/>
    <col min="6405" max="6656" width="9.140625" style="21"/>
    <col min="6657" max="6657" width="27" style="21" customWidth="1"/>
    <col min="6658" max="6658" width="8.7109375" style="21" customWidth="1"/>
    <col min="6659" max="6659" width="9.140625" style="21"/>
    <col min="6660" max="6660" width="10.7109375" style="21" customWidth="1"/>
    <col min="6661" max="6912" width="9.140625" style="21"/>
    <col min="6913" max="6913" width="27" style="21" customWidth="1"/>
    <col min="6914" max="6914" width="8.7109375" style="21" customWidth="1"/>
    <col min="6915" max="6915" width="9.140625" style="21"/>
    <col min="6916" max="6916" width="10.7109375" style="21" customWidth="1"/>
    <col min="6917" max="7168" width="9.140625" style="21"/>
    <col min="7169" max="7169" width="27" style="21" customWidth="1"/>
    <col min="7170" max="7170" width="8.7109375" style="21" customWidth="1"/>
    <col min="7171" max="7171" width="9.140625" style="21"/>
    <col min="7172" max="7172" width="10.7109375" style="21" customWidth="1"/>
    <col min="7173" max="7424" width="9.140625" style="21"/>
    <col min="7425" max="7425" width="27" style="21" customWidth="1"/>
    <col min="7426" max="7426" width="8.7109375" style="21" customWidth="1"/>
    <col min="7427" max="7427" width="9.140625" style="21"/>
    <col min="7428" max="7428" width="10.7109375" style="21" customWidth="1"/>
    <col min="7429" max="7680" width="9.140625" style="21"/>
    <col min="7681" max="7681" width="27" style="21" customWidth="1"/>
    <col min="7682" max="7682" width="8.7109375" style="21" customWidth="1"/>
    <col min="7683" max="7683" width="9.140625" style="21"/>
    <col min="7684" max="7684" width="10.7109375" style="21" customWidth="1"/>
    <col min="7685" max="7936" width="9.140625" style="21"/>
    <col min="7937" max="7937" width="27" style="21" customWidth="1"/>
    <col min="7938" max="7938" width="8.7109375" style="21" customWidth="1"/>
    <col min="7939" max="7939" width="9.140625" style="21"/>
    <col min="7940" max="7940" width="10.7109375" style="21" customWidth="1"/>
    <col min="7941" max="8192" width="9.140625" style="21"/>
    <col min="8193" max="8193" width="27" style="21" customWidth="1"/>
    <col min="8194" max="8194" width="8.7109375" style="21" customWidth="1"/>
    <col min="8195" max="8195" width="9.140625" style="21"/>
    <col min="8196" max="8196" width="10.7109375" style="21" customWidth="1"/>
    <col min="8197" max="8448" width="9.140625" style="21"/>
    <col min="8449" max="8449" width="27" style="21" customWidth="1"/>
    <col min="8450" max="8450" width="8.7109375" style="21" customWidth="1"/>
    <col min="8451" max="8451" width="9.140625" style="21"/>
    <col min="8452" max="8452" width="10.7109375" style="21" customWidth="1"/>
    <col min="8453" max="8704" width="9.140625" style="21"/>
    <col min="8705" max="8705" width="27" style="21" customWidth="1"/>
    <col min="8706" max="8706" width="8.7109375" style="21" customWidth="1"/>
    <col min="8707" max="8707" width="9.140625" style="21"/>
    <col min="8708" max="8708" width="10.7109375" style="21" customWidth="1"/>
    <col min="8709" max="8960" width="9.140625" style="21"/>
    <col min="8961" max="8961" width="27" style="21" customWidth="1"/>
    <col min="8962" max="8962" width="8.7109375" style="21" customWidth="1"/>
    <col min="8963" max="8963" width="9.140625" style="21"/>
    <col min="8964" max="8964" width="10.7109375" style="21" customWidth="1"/>
    <col min="8965" max="9216" width="9.140625" style="21"/>
    <col min="9217" max="9217" width="27" style="21" customWidth="1"/>
    <col min="9218" max="9218" width="8.7109375" style="21" customWidth="1"/>
    <col min="9219" max="9219" width="9.140625" style="21"/>
    <col min="9220" max="9220" width="10.7109375" style="21" customWidth="1"/>
    <col min="9221" max="9472" width="9.140625" style="21"/>
    <col min="9473" max="9473" width="27" style="21" customWidth="1"/>
    <col min="9474" max="9474" width="8.7109375" style="21" customWidth="1"/>
    <col min="9475" max="9475" width="9.140625" style="21"/>
    <col min="9476" max="9476" width="10.7109375" style="21" customWidth="1"/>
    <col min="9477" max="9728" width="9.140625" style="21"/>
    <col min="9729" max="9729" width="27" style="21" customWidth="1"/>
    <col min="9730" max="9730" width="8.7109375" style="21" customWidth="1"/>
    <col min="9731" max="9731" width="9.140625" style="21"/>
    <col min="9732" max="9732" width="10.7109375" style="21" customWidth="1"/>
    <col min="9733" max="9984" width="9.140625" style="21"/>
    <col min="9985" max="9985" width="27" style="21" customWidth="1"/>
    <col min="9986" max="9986" width="8.7109375" style="21" customWidth="1"/>
    <col min="9987" max="9987" width="9.140625" style="21"/>
    <col min="9988" max="9988" width="10.7109375" style="21" customWidth="1"/>
    <col min="9989" max="10240" width="9.140625" style="21"/>
    <col min="10241" max="10241" width="27" style="21" customWidth="1"/>
    <col min="10242" max="10242" width="8.7109375" style="21" customWidth="1"/>
    <col min="10243" max="10243" width="9.140625" style="21"/>
    <col min="10244" max="10244" width="10.7109375" style="21" customWidth="1"/>
    <col min="10245" max="10496" width="9.140625" style="21"/>
    <col min="10497" max="10497" width="27" style="21" customWidth="1"/>
    <col min="10498" max="10498" width="8.7109375" style="21" customWidth="1"/>
    <col min="10499" max="10499" width="9.140625" style="21"/>
    <col min="10500" max="10500" width="10.7109375" style="21" customWidth="1"/>
    <col min="10501" max="10752" width="9.140625" style="21"/>
    <col min="10753" max="10753" width="27" style="21" customWidth="1"/>
    <col min="10754" max="10754" width="8.7109375" style="21" customWidth="1"/>
    <col min="10755" max="10755" width="9.140625" style="21"/>
    <col min="10756" max="10756" width="10.7109375" style="21" customWidth="1"/>
    <col min="10757" max="11008" width="9.140625" style="21"/>
    <col min="11009" max="11009" width="27" style="21" customWidth="1"/>
    <col min="11010" max="11010" width="8.7109375" style="21" customWidth="1"/>
    <col min="11011" max="11011" width="9.140625" style="21"/>
    <col min="11012" max="11012" width="10.7109375" style="21" customWidth="1"/>
    <col min="11013" max="11264" width="9.140625" style="21"/>
    <col min="11265" max="11265" width="27" style="21" customWidth="1"/>
    <col min="11266" max="11266" width="8.7109375" style="21" customWidth="1"/>
    <col min="11267" max="11267" width="9.140625" style="21"/>
    <col min="11268" max="11268" width="10.7109375" style="21" customWidth="1"/>
    <col min="11269" max="11520" width="9.140625" style="21"/>
    <col min="11521" max="11521" width="27" style="21" customWidth="1"/>
    <col min="11522" max="11522" width="8.7109375" style="21" customWidth="1"/>
    <col min="11523" max="11523" width="9.140625" style="21"/>
    <col min="11524" max="11524" width="10.7109375" style="21" customWidth="1"/>
    <col min="11525" max="11776" width="9.140625" style="21"/>
    <col min="11777" max="11777" width="27" style="21" customWidth="1"/>
    <col min="11778" max="11778" width="8.7109375" style="21" customWidth="1"/>
    <col min="11779" max="11779" width="9.140625" style="21"/>
    <col min="11780" max="11780" width="10.7109375" style="21" customWidth="1"/>
    <col min="11781" max="12032" width="9.140625" style="21"/>
    <col min="12033" max="12033" width="27" style="21" customWidth="1"/>
    <col min="12034" max="12034" width="8.7109375" style="21" customWidth="1"/>
    <col min="12035" max="12035" width="9.140625" style="21"/>
    <col min="12036" max="12036" width="10.7109375" style="21" customWidth="1"/>
    <col min="12037" max="12288" width="9.140625" style="21"/>
    <col min="12289" max="12289" width="27" style="21" customWidth="1"/>
    <col min="12290" max="12290" width="8.7109375" style="21" customWidth="1"/>
    <col min="12291" max="12291" width="9.140625" style="21"/>
    <col min="12292" max="12292" width="10.7109375" style="21" customWidth="1"/>
    <col min="12293" max="12544" width="9.140625" style="21"/>
    <col min="12545" max="12545" width="27" style="21" customWidth="1"/>
    <col min="12546" max="12546" width="8.7109375" style="21" customWidth="1"/>
    <col min="12547" max="12547" width="9.140625" style="21"/>
    <col min="12548" max="12548" width="10.7109375" style="21" customWidth="1"/>
    <col min="12549" max="12800" width="9.140625" style="21"/>
    <col min="12801" max="12801" width="27" style="21" customWidth="1"/>
    <col min="12802" max="12802" width="8.7109375" style="21" customWidth="1"/>
    <col min="12803" max="12803" width="9.140625" style="21"/>
    <col min="12804" max="12804" width="10.7109375" style="21" customWidth="1"/>
    <col min="12805" max="13056" width="9.140625" style="21"/>
    <col min="13057" max="13057" width="27" style="21" customWidth="1"/>
    <col min="13058" max="13058" width="8.7109375" style="21" customWidth="1"/>
    <col min="13059" max="13059" width="9.140625" style="21"/>
    <col min="13060" max="13060" width="10.7109375" style="21" customWidth="1"/>
    <col min="13061" max="13312" width="9.140625" style="21"/>
    <col min="13313" max="13313" width="27" style="21" customWidth="1"/>
    <col min="13314" max="13314" width="8.7109375" style="21" customWidth="1"/>
    <col min="13315" max="13315" width="9.140625" style="21"/>
    <col min="13316" max="13316" width="10.7109375" style="21" customWidth="1"/>
    <col min="13317" max="13568" width="9.140625" style="21"/>
    <col min="13569" max="13569" width="27" style="21" customWidth="1"/>
    <col min="13570" max="13570" width="8.7109375" style="21" customWidth="1"/>
    <col min="13571" max="13571" width="9.140625" style="21"/>
    <col min="13572" max="13572" width="10.7109375" style="21" customWidth="1"/>
    <col min="13573" max="13824" width="9.140625" style="21"/>
    <col min="13825" max="13825" width="27" style="21" customWidth="1"/>
    <col min="13826" max="13826" width="8.7109375" style="21" customWidth="1"/>
    <col min="13827" max="13827" width="9.140625" style="21"/>
    <col min="13828" max="13828" width="10.7109375" style="21" customWidth="1"/>
    <col min="13829" max="14080" width="9.140625" style="21"/>
    <col min="14081" max="14081" width="27" style="21" customWidth="1"/>
    <col min="14082" max="14082" width="8.7109375" style="21" customWidth="1"/>
    <col min="14083" max="14083" width="9.140625" style="21"/>
    <col min="14084" max="14084" width="10.7109375" style="21" customWidth="1"/>
    <col min="14085" max="14336" width="9.140625" style="21"/>
    <col min="14337" max="14337" width="27" style="21" customWidth="1"/>
    <col min="14338" max="14338" width="8.7109375" style="21" customWidth="1"/>
    <col min="14339" max="14339" width="9.140625" style="21"/>
    <col min="14340" max="14340" width="10.7109375" style="21" customWidth="1"/>
    <col min="14341" max="14592" width="9.140625" style="21"/>
    <col min="14593" max="14593" width="27" style="21" customWidth="1"/>
    <col min="14594" max="14594" width="8.7109375" style="21" customWidth="1"/>
    <col min="14595" max="14595" width="9.140625" style="21"/>
    <col min="14596" max="14596" width="10.7109375" style="21" customWidth="1"/>
    <col min="14597" max="14848" width="9.140625" style="21"/>
    <col min="14849" max="14849" width="27" style="21" customWidth="1"/>
    <col min="14850" max="14850" width="8.7109375" style="21" customWidth="1"/>
    <col min="14851" max="14851" width="9.140625" style="21"/>
    <col min="14852" max="14852" width="10.7109375" style="21" customWidth="1"/>
    <col min="14853" max="15104" width="9.140625" style="21"/>
    <col min="15105" max="15105" width="27" style="21" customWidth="1"/>
    <col min="15106" max="15106" width="8.7109375" style="21" customWidth="1"/>
    <col min="15107" max="15107" width="9.140625" style="21"/>
    <col min="15108" max="15108" width="10.7109375" style="21" customWidth="1"/>
    <col min="15109" max="15360" width="9.140625" style="21"/>
    <col min="15361" max="15361" width="27" style="21" customWidth="1"/>
    <col min="15362" max="15362" width="8.7109375" style="21" customWidth="1"/>
    <col min="15363" max="15363" width="9.140625" style="21"/>
    <col min="15364" max="15364" width="10.7109375" style="21" customWidth="1"/>
    <col min="15365" max="15616" width="9.140625" style="21"/>
    <col min="15617" max="15617" width="27" style="21" customWidth="1"/>
    <col min="15618" max="15618" width="8.7109375" style="21" customWidth="1"/>
    <col min="15619" max="15619" width="9.140625" style="21"/>
    <col min="15620" max="15620" width="10.7109375" style="21" customWidth="1"/>
    <col min="15621" max="15872" width="9.140625" style="21"/>
    <col min="15873" max="15873" width="27" style="21" customWidth="1"/>
    <col min="15874" max="15874" width="8.7109375" style="21" customWidth="1"/>
    <col min="15875" max="15875" width="9.140625" style="21"/>
    <col min="15876" max="15876" width="10.7109375" style="21" customWidth="1"/>
    <col min="15877" max="16128" width="9.140625" style="21"/>
    <col min="16129" max="16129" width="27" style="21" customWidth="1"/>
    <col min="16130" max="16130" width="8.7109375" style="21" customWidth="1"/>
    <col min="16131" max="16131" width="9.140625" style="21"/>
    <col min="16132" max="16132" width="10.7109375" style="21" customWidth="1"/>
    <col min="16133" max="16384" width="9.140625" style="21"/>
  </cols>
  <sheetData>
    <row r="1" spans="1:8" s="27" customFormat="1" ht="22.5" customHeight="1">
      <c r="A1" s="23" t="s">
        <v>225</v>
      </c>
    </row>
    <row r="3" spans="1:8">
      <c r="A3" s="150"/>
      <c r="B3" s="150"/>
      <c r="C3" s="150" t="s">
        <v>364</v>
      </c>
      <c r="D3" s="150" t="s">
        <v>365</v>
      </c>
      <c r="E3" s="150" t="s">
        <v>56</v>
      </c>
      <c r="F3" s="150"/>
      <c r="G3" s="150"/>
      <c r="H3" s="150"/>
    </row>
    <row r="4" spans="1:8">
      <c r="A4" s="150"/>
      <c r="B4" s="150">
        <v>2003</v>
      </c>
      <c r="C4" s="150">
        <v>370</v>
      </c>
      <c r="D4" s="150">
        <v>4925</v>
      </c>
      <c r="E4" s="150">
        <v>5295</v>
      </c>
      <c r="F4" s="150"/>
      <c r="G4" s="150"/>
      <c r="H4" s="150"/>
    </row>
    <row r="5" spans="1:8">
      <c r="A5" s="150"/>
      <c r="B5" s="150">
        <v>2004</v>
      </c>
      <c r="C5" s="150">
        <v>404</v>
      </c>
      <c r="D5" s="150">
        <v>4451</v>
      </c>
      <c r="E5" s="150">
        <v>4855</v>
      </c>
      <c r="F5" s="150"/>
      <c r="G5" s="150"/>
      <c r="H5" s="150"/>
    </row>
    <row r="6" spans="1:8">
      <c r="A6" s="150"/>
      <c r="B6" s="150">
        <v>2005</v>
      </c>
      <c r="C6" s="150">
        <v>663</v>
      </c>
      <c r="D6" s="150">
        <v>5113</v>
      </c>
      <c r="E6" s="150">
        <v>5776</v>
      </c>
      <c r="F6" s="150"/>
      <c r="G6" s="150"/>
      <c r="H6" s="150"/>
    </row>
    <row r="7" spans="1:8">
      <c r="A7" s="150"/>
      <c r="B7" s="150">
        <v>2006</v>
      </c>
      <c r="C7" s="150">
        <v>687</v>
      </c>
      <c r="D7" s="150">
        <v>5831</v>
      </c>
      <c r="E7" s="150">
        <f t="shared" ref="E7:E15" si="0">C7+D7</f>
        <v>6518</v>
      </c>
      <c r="F7" s="150"/>
      <c r="G7" s="150"/>
      <c r="H7" s="150"/>
    </row>
    <row r="8" spans="1:8">
      <c r="A8" s="150"/>
      <c r="B8" s="150">
        <v>2007</v>
      </c>
      <c r="C8" s="150">
        <v>677</v>
      </c>
      <c r="D8" s="150">
        <v>5360</v>
      </c>
      <c r="E8" s="150">
        <f t="shared" si="0"/>
        <v>6037</v>
      </c>
      <c r="F8" s="150"/>
      <c r="G8" s="150"/>
      <c r="H8" s="150"/>
    </row>
    <row r="9" spans="1:8">
      <c r="A9" s="150"/>
      <c r="B9" s="150">
        <v>2008</v>
      </c>
      <c r="C9" s="150">
        <v>567</v>
      </c>
      <c r="D9" s="150">
        <v>5155</v>
      </c>
      <c r="E9" s="150">
        <f t="shared" si="0"/>
        <v>5722</v>
      </c>
      <c r="F9" s="150"/>
      <c r="G9" s="150"/>
      <c r="H9" s="150"/>
    </row>
    <row r="10" spans="1:8">
      <c r="A10" s="150"/>
      <c r="B10" s="150">
        <v>2009</v>
      </c>
      <c r="C10" s="150">
        <v>544</v>
      </c>
      <c r="D10" s="150">
        <v>3871</v>
      </c>
      <c r="E10" s="150">
        <f t="shared" si="0"/>
        <v>4415</v>
      </c>
      <c r="F10" s="150"/>
      <c r="G10" s="150"/>
      <c r="H10" s="150"/>
    </row>
    <row r="11" spans="1:8">
      <c r="A11" s="150"/>
      <c r="B11" s="150">
        <v>2010</v>
      </c>
      <c r="C11" s="150">
        <v>245</v>
      </c>
      <c r="D11" s="150">
        <v>4039</v>
      </c>
      <c r="E11" s="150">
        <f t="shared" si="0"/>
        <v>4284</v>
      </c>
      <c r="F11" s="150"/>
      <c r="G11" s="150"/>
      <c r="H11" s="150"/>
    </row>
    <row r="12" spans="1:8">
      <c r="A12" s="150"/>
      <c r="B12" s="150">
        <v>2011</v>
      </c>
      <c r="C12" s="150">
        <v>208</v>
      </c>
      <c r="D12" s="150">
        <v>4860</v>
      </c>
      <c r="E12" s="150">
        <f t="shared" si="0"/>
        <v>5068</v>
      </c>
      <c r="F12" s="150"/>
      <c r="G12" s="150"/>
      <c r="H12" s="150"/>
    </row>
    <row r="13" spans="1:8">
      <c r="A13" s="150"/>
      <c r="B13" s="150">
        <v>2012</v>
      </c>
      <c r="C13" s="150">
        <v>252</v>
      </c>
      <c r="D13" s="150">
        <v>4583</v>
      </c>
      <c r="E13" s="150">
        <f t="shared" si="0"/>
        <v>4835</v>
      </c>
      <c r="F13" s="150"/>
      <c r="G13" s="150"/>
      <c r="H13" s="150"/>
    </row>
    <row r="14" spans="1:8">
      <c r="A14" s="150"/>
      <c r="B14" s="150">
        <v>2013</v>
      </c>
      <c r="C14" s="150">
        <v>219</v>
      </c>
      <c r="D14" s="150">
        <v>5481</v>
      </c>
      <c r="E14" s="150">
        <f t="shared" si="0"/>
        <v>5700</v>
      </c>
      <c r="F14" s="150"/>
      <c r="G14" s="150"/>
      <c r="H14" s="150"/>
    </row>
    <row r="15" spans="1:8">
      <c r="A15" s="150"/>
      <c r="B15" s="150">
        <v>2014</v>
      </c>
      <c r="C15" s="150">
        <v>235</v>
      </c>
      <c r="D15" s="150">
        <v>4919</v>
      </c>
      <c r="E15" s="150">
        <f t="shared" si="0"/>
        <v>5154</v>
      </c>
      <c r="F15" s="150"/>
      <c r="G15" s="150"/>
      <c r="H15" s="150"/>
    </row>
    <row r="16" spans="1:8">
      <c r="A16" s="150"/>
      <c r="B16" s="150">
        <v>2015</v>
      </c>
      <c r="C16" s="150">
        <v>202</v>
      </c>
      <c r="D16" s="150">
        <v>5493</v>
      </c>
      <c r="E16" s="150">
        <f>C16+D16</f>
        <v>5695</v>
      </c>
      <c r="F16" s="150"/>
      <c r="G16" s="150"/>
      <c r="H16" s="150"/>
    </row>
    <row r="17" spans="1:8">
      <c r="A17" s="150"/>
      <c r="B17" s="150"/>
      <c r="C17" s="150"/>
      <c r="D17" s="150"/>
      <c r="E17" s="150"/>
      <c r="F17" s="150"/>
      <c r="G17" s="150"/>
      <c r="H17" s="150"/>
    </row>
    <row r="18" spans="1:8" hidden="1">
      <c r="A18" s="150" t="s">
        <v>234</v>
      </c>
      <c r="B18" s="150" t="s">
        <v>366</v>
      </c>
      <c r="C18" s="150" t="s">
        <v>367</v>
      </c>
      <c r="D18" s="150" t="s">
        <v>368</v>
      </c>
      <c r="E18" s="150" t="s">
        <v>369</v>
      </c>
      <c r="F18" s="150" t="s">
        <v>370</v>
      </c>
      <c r="G18" s="150"/>
      <c r="H18" s="150"/>
    </row>
    <row r="19" spans="1:8" hidden="1">
      <c r="A19" s="150" t="s">
        <v>371</v>
      </c>
      <c r="B19" s="150">
        <v>6007</v>
      </c>
      <c r="C19" s="150">
        <v>276</v>
      </c>
      <c r="D19" s="150">
        <v>145</v>
      </c>
      <c r="E19" s="150">
        <v>1042</v>
      </c>
      <c r="F19" s="150">
        <f>B19+C19+D19+E19</f>
        <v>7470</v>
      </c>
      <c r="G19" s="150"/>
      <c r="H19" s="150"/>
    </row>
    <row r="20" spans="1:8" hidden="1">
      <c r="A20" s="150" t="s">
        <v>372</v>
      </c>
      <c r="B20" s="150">
        <v>5589</v>
      </c>
      <c r="C20" s="150">
        <v>183</v>
      </c>
      <c r="D20" s="150">
        <v>59</v>
      </c>
      <c r="E20" s="150">
        <v>687</v>
      </c>
      <c r="F20" s="150">
        <f>B20+C20+D20+E20</f>
        <v>6518</v>
      </c>
      <c r="G20" s="150"/>
      <c r="H20" s="150"/>
    </row>
    <row r="21" spans="1:8" hidden="1">
      <c r="A21" s="150" t="s">
        <v>235</v>
      </c>
      <c r="B21" s="150"/>
      <c r="C21" s="150"/>
      <c r="D21" s="150"/>
      <c r="E21" s="150"/>
      <c r="F21" s="150"/>
      <c r="G21" s="150"/>
      <c r="H21" s="150"/>
    </row>
    <row r="22" spans="1:8" hidden="1">
      <c r="A22" s="150" t="s">
        <v>371</v>
      </c>
      <c r="B22" s="150">
        <v>5763</v>
      </c>
      <c r="C22" s="150">
        <v>255</v>
      </c>
      <c r="D22" s="150">
        <v>121</v>
      </c>
      <c r="E22" s="150">
        <v>891</v>
      </c>
      <c r="F22" s="150">
        <f>B22+C22+D22+E22</f>
        <v>7030</v>
      </c>
      <c r="G22" s="150"/>
      <c r="H22" s="150"/>
    </row>
    <row r="23" spans="1:8" hidden="1">
      <c r="A23" s="150" t="s">
        <v>372</v>
      </c>
      <c r="B23" s="150">
        <v>5163</v>
      </c>
      <c r="C23" s="150">
        <v>150</v>
      </c>
      <c r="D23" s="150">
        <v>47</v>
      </c>
      <c r="E23" s="150">
        <v>677</v>
      </c>
      <c r="F23" s="150">
        <f>B23+C23+D23+E23</f>
        <v>6037</v>
      </c>
      <c r="G23" s="150"/>
      <c r="H23" s="150"/>
    </row>
    <row r="24" spans="1:8" hidden="1">
      <c r="A24" s="150" t="s">
        <v>236</v>
      </c>
      <c r="B24" s="150"/>
      <c r="C24" s="150"/>
      <c r="D24" s="150"/>
      <c r="E24" s="150"/>
      <c r="F24" s="150"/>
      <c r="G24" s="150"/>
      <c r="H24" s="150"/>
    </row>
    <row r="25" spans="1:8" hidden="1">
      <c r="A25" s="150" t="s">
        <v>371</v>
      </c>
      <c r="B25" s="150">
        <v>5537</v>
      </c>
      <c r="C25" s="150">
        <v>216</v>
      </c>
      <c r="D25" s="150">
        <v>109</v>
      </c>
      <c r="E25" s="150">
        <v>671</v>
      </c>
      <c r="F25" s="150">
        <f>B25+C25+D25+E25</f>
        <v>6533</v>
      </c>
      <c r="G25" s="150"/>
      <c r="H25" s="150"/>
    </row>
    <row r="26" spans="1:8" hidden="1">
      <c r="A26" s="150" t="s">
        <v>372</v>
      </c>
      <c r="B26" s="150">
        <v>4957</v>
      </c>
      <c r="C26" s="150">
        <v>140</v>
      </c>
      <c r="D26" s="150">
        <v>58</v>
      </c>
      <c r="E26" s="150">
        <v>567</v>
      </c>
      <c r="F26" s="150">
        <f>B26+C26+D26+E26</f>
        <v>5722</v>
      </c>
      <c r="G26" s="150"/>
      <c r="H26" s="150"/>
    </row>
    <row r="27" spans="1:8" hidden="1">
      <c r="A27" s="150" t="s">
        <v>199</v>
      </c>
      <c r="B27" s="150"/>
      <c r="C27" s="150"/>
      <c r="D27" s="150"/>
      <c r="E27" s="150"/>
      <c r="F27" s="150"/>
      <c r="G27" s="150"/>
      <c r="H27" s="150"/>
    </row>
    <row r="28" spans="1:8" hidden="1">
      <c r="A28" s="150" t="s">
        <v>371</v>
      </c>
      <c r="B28" s="150">
        <v>4062</v>
      </c>
      <c r="C28" s="150">
        <v>156</v>
      </c>
      <c r="D28" s="150">
        <v>71</v>
      </c>
      <c r="E28" s="150">
        <v>626</v>
      </c>
      <c r="F28" s="150">
        <f>B28+C28+D28+E28</f>
        <v>4915</v>
      </c>
      <c r="G28" s="150"/>
      <c r="H28" s="150"/>
    </row>
    <row r="29" spans="1:8" hidden="1">
      <c r="A29" s="150" t="s">
        <v>372</v>
      </c>
      <c r="B29" s="150">
        <v>3737</v>
      </c>
      <c r="C29" s="150">
        <v>99</v>
      </c>
      <c r="D29" s="150">
        <v>35</v>
      </c>
      <c r="E29" s="150">
        <v>544</v>
      </c>
      <c r="F29" s="150">
        <f>B29+C29+D29+E29</f>
        <v>4415</v>
      </c>
      <c r="G29" s="150"/>
      <c r="H29" s="150"/>
    </row>
    <row r="30" spans="1:8" hidden="1">
      <c r="A30" s="150" t="s">
        <v>200</v>
      </c>
      <c r="B30" s="150"/>
      <c r="C30" s="150"/>
      <c r="D30" s="150"/>
      <c r="E30" s="150"/>
      <c r="F30" s="150"/>
      <c r="G30" s="150"/>
      <c r="H30" s="150"/>
    </row>
    <row r="31" spans="1:8" hidden="1">
      <c r="A31" s="150" t="s">
        <v>371</v>
      </c>
      <c r="B31" s="150">
        <v>4236</v>
      </c>
      <c r="C31" s="150">
        <v>154</v>
      </c>
      <c r="D31" s="150">
        <v>65</v>
      </c>
      <c r="E31" s="150">
        <v>292</v>
      </c>
      <c r="F31" s="150">
        <f>SUM(B31:E31)</f>
        <v>4747</v>
      </c>
      <c r="G31" s="150"/>
      <c r="H31" s="150"/>
    </row>
    <row r="32" spans="1:8" hidden="1">
      <c r="A32" s="150" t="s">
        <v>372</v>
      </c>
      <c r="B32" s="150">
        <v>3896</v>
      </c>
      <c r="C32" s="150">
        <v>108</v>
      </c>
      <c r="D32" s="150">
        <v>35</v>
      </c>
      <c r="E32" s="150">
        <v>245</v>
      </c>
      <c r="F32" s="150">
        <f>SUM(B32:E32)</f>
        <v>4284</v>
      </c>
      <c r="G32" s="150"/>
      <c r="H32" s="150"/>
    </row>
    <row r="33" spans="1:8" hidden="1">
      <c r="A33" s="150" t="s">
        <v>201</v>
      </c>
      <c r="B33" s="150"/>
      <c r="C33" s="150"/>
      <c r="D33" s="150"/>
      <c r="E33" s="150"/>
      <c r="F33" s="150"/>
      <c r="G33" s="150"/>
      <c r="H33" s="150"/>
    </row>
    <row r="34" spans="1:8" hidden="1">
      <c r="A34" s="150" t="s">
        <v>371</v>
      </c>
      <c r="B34" s="150">
        <v>5067</v>
      </c>
      <c r="C34" s="150">
        <v>166</v>
      </c>
      <c r="D34" s="150">
        <v>60</v>
      </c>
      <c r="E34" s="150">
        <v>258</v>
      </c>
      <c r="F34" s="150">
        <f>SUM(B34:E34)</f>
        <v>5551</v>
      </c>
      <c r="G34" s="150"/>
      <c r="H34" s="150"/>
    </row>
    <row r="35" spans="1:8" hidden="1">
      <c r="A35" s="150" t="s">
        <v>372</v>
      </c>
      <c r="B35" s="150">
        <v>4706</v>
      </c>
      <c r="C35" s="150">
        <v>126</v>
      </c>
      <c r="D35" s="150">
        <v>28</v>
      </c>
      <c r="E35" s="150">
        <v>208</v>
      </c>
      <c r="F35" s="150">
        <f>SUM(B35:E35)</f>
        <v>5068</v>
      </c>
      <c r="G35" s="150"/>
      <c r="H35" s="150"/>
    </row>
    <row r="36" spans="1:8" hidden="1">
      <c r="A36" s="150" t="s">
        <v>237</v>
      </c>
      <c r="B36" s="150"/>
      <c r="C36" s="150"/>
      <c r="D36" s="150"/>
      <c r="E36" s="150"/>
      <c r="F36" s="150"/>
      <c r="G36" s="150"/>
      <c r="H36" s="150"/>
    </row>
    <row r="37" spans="1:8" hidden="1">
      <c r="A37" s="150" t="s">
        <v>371</v>
      </c>
      <c r="B37" s="150">
        <v>4873</v>
      </c>
      <c r="C37" s="150">
        <v>156</v>
      </c>
      <c r="D37" s="150">
        <v>78</v>
      </c>
      <c r="E37" s="150">
        <v>292</v>
      </c>
      <c r="F37" s="150">
        <f>SUM(B37:E37)</f>
        <v>5399</v>
      </c>
      <c r="G37" s="150"/>
      <c r="H37" s="150"/>
    </row>
    <row r="38" spans="1:8" hidden="1">
      <c r="A38" s="150" t="s">
        <v>372</v>
      </c>
      <c r="B38" s="150">
        <v>4428</v>
      </c>
      <c r="C38" s="150">
        <v>111</v>
      </c>
      <c r="D38" s="150">
        <v>44</v>
      </c>
      <c r="E38" s="150">
        <v>252</v>
      </c>
      <c r="F38" s="150">
        <f>SUM(B38:E38)</f>
        <v>4835</v>
      </c>
      <c r="G38" s="150"/>
      <c r="H38" s="150"/>
    </row>
    <row r="39" spans="1:8" hidden="1">
      <c r="A39" s="150" t="s">
        <v>238</v>
      </c>
      <c r="B39" s="150"/>
      <c r="C39" s="150"/>
      <c r="D39" s="150"/>
      <c r="E39" s="150"/>
      <c r="F39" s="150"/>
      <c r="G39" s="150"/>
      <c r="H39" s="150"/>
    </row>
    <row r="40" spans="1:8" hidden="1">
      <c r="A40" s="150" t="s">
        <v>371</v>
      </c>
      <c r="B40" s="150">
        <v>5722</v>
      </c>
      <c r="C40" s="150">
        <v>204</v>
      </c>
      <c r="D40" s="150">
        <v>61</v>
      </c>
      <c r="E40" s="150">
        <v>255</v>
      </c>
      <c r="F40" s="150">
        <f>SUM(B40:E40)</f>
        <v>6242</v>
      </c>
      <c r="G40" s="150"/>
      <c r="H40" s="150"/>
    </row>
    <row r="41" spans="1:8" hidden="1">
      <c r="A41" s="150" t="s">
        <v>372</v>
      </c>
      <c r="B41" s="150">
        <v>5312</v>
      </c>
      <c r="C41" s="150">
        <v>137</v>
      </c>
      <c r="D41" s="150">
        <v>32</v>
      </c>
      <c r="E41" s="150">
        <v>219</v>
      </c>
      <c r="F41" s="150">
        <f>SUM(B41:E41)</f>
        <v>5700</v>
      </c>
      <c r="G41" s="150"/>
      <c r="H41" s="150"/>
    </row>
    <row r="42" spans="1:8" hidden="1">
      <c r="A42" s="150" t="s">
        <v>239</v>
      </c>
      <c r="B42" s="150"/>
      <c r="C42" s="150"/>
      <c r="D42" s="150"/>
      <c r="E42" s="150"/>
      <c r="F42" s="150"/>
      <c r="G42" s="150"/>
      <c r="H42" s="150"/>
    </row>
    <row r="43" spans="1:8" hidden="1">
      <c r="A43" s="150" t="str">
        <f>A40</f>
        <v>Tirta atvejų</v>
      </c>
      <c r="B43" s="150">
        <v>5194</v>
      </c>
      <c r="C43" s="150">
        <v>160</v>
      </c>
      <c r="D43" s="150">
        <v>77</v>
      </c>
      <c r="E43" s="150">
        <v>271</v>
      </c>
      <c r="F43" s="150">
        <f>SUM(B43:E43)</f>
        <v>5702</v>
      </c>
      <c r="G43" s="150"/>
      <c r="H43" s="150"/>
    </row>
    <row r="44" spans="1:8" hidden="1">
      <c r="A44" s="150" t="str">
        <f>A41</f>
        <v>Pripažinta draudiminiais įvykiais</v>
      </c>
      <c r="B44" s="150">
        <v>4763</v>
      </c>
      <c r="C44" s="150">
        <v>110</v>
      </c>
      <c r="D44" s="150">
        <v>46</v>
      </c>
      <c r="E44" s="150">
        <v>235</v>
      </c>
      <c r="F44" s="150">
        <f>SUM(B44:E44)</f>
        <v>5154</v>
      </c>
      <c r="G44" s="150"/>
      <c r="H44" s="150"/>
    </row>
    <row r="45" spans="1:8" hidden="1">
      <c r="A45" s="150" t="s">
        <v>414</v>
      </c>
      <c r="B45" s="150"/>
      <c r="C45" s="150"/>
      <c r="D45" s="150"/>
      <c r="E45" s="150"/>
      <c r="F45" s="150"/>
      <c r="G45" s="150"/>
      <c r="H45" s="150"/>
    </row>
    <row r="46" spans="1:8" hidden="1">
      <c r="A46" s="150" t="s">
        <v>371</v>
      </c>
      <c r="B46" s="150">
        <v>5787</v>
      </c>
      <c r="C46" s="150">
        <v>185</v>
      </c>
      <c r="D46" s="150">
        <v>57</v>
      </c>
      <c r="E46" s="150">
        <v>249</v>
      </c>
      <c r="F46" s="150">
        <f>SUM(B46:E46)</f>
        <v>6278</v>
      </c>
      <c r="G46" s="150"/>
      <c r="H46" s="150"/>
    </row>
    <row r="47" spans="1:8" hidden="1">
      <c r="A47" s="150" t="s">
        <v>372</v>
      </c>
      <c r="B47" s="150">
        <v>5315</v>
      </c>
      <c r="C47" s="150">
        <v>143</v>
      </c>
      <c r="D47" s="150">
        <v>35</v>
      </c>
      <c r="E47" s="150">
        <v>202</v>
      </c>
      <c r="F47" s="150">
        <f>SUM(B47:E47)</f>
        <v>5695</v>
      </c>
      <c r="G47" s="150"/>
      <c r="H47" s="150"/>
    </row>
    <row r="48" spans="1:8" hidden="1">
      <c r="A48" s="150"/>
      <c r="B48" s="150"/>
      <c r="C48" s="150"/>
      <c r="D48" s="150"/>
      <c r="E48" s="150"/>
      <c r="F48" s="150"/>
      <c r="G48" s="150"/>
      <c r="H48" s="150"/>
    </row>
    <row r="49" spans="1:8" hidden="1">
      <c r="A49" s="150"/>
      <c r="B49" s="150"/>
      <c r="C49" s="150"/>
      <c r="D49" s="150"/>
      <c r="E49" s="150"/>
      <c r="F49" s="150"/>
      <c r="G49" s="150"/>
      <c r="H49" s="150"/>
    </row>
    <row r="50" spans="1:8" hidden="1">
      <c r="A50" s="150"/>
      <c r="B50" s="150"/>
      <c r="C50" s="150"/>
      <c r="D50" s="150"/>
      <c r="E50" s="150"/>
      <c r="F50" s="150"/>
      <c r="G50" s="150"/>
      <c r="H50" s="150"/>
    </row>
    <row r="51" spans="1:8" hidden="1">
      <c r="A51" s="150"/>
      <c r="B51" s="150"/>
      <c r="C51" s="150"/>
      <c r="D51" s="150"/>
      <c r="E51" s="150"/>
      <c r="F51" s="150"/>
      <c r="G51" s="150"/>
      <c r="H51" s="150"/>
    </row>
    <row r="52" spans="1:8" hidden="1">
      <c r="A52" s="150"/>
      <c r="B52" s="150"/>
      <c r="C52" s="150"/>
      <c r="D52" s="150"/>
      <c r="E52" s="150"/>
      <c r="F52" s="150"/>
      <c r="G52" s="150"/>
      <c r="H52" s="150"/>
    </row>
    <row r="53" spans="1:8" hidden="1">
      <c r="A53" s="150"/>
      <c r="B53" s="150"/>
      <c r="C53" s="150"/>
      <c r="D53" s="150"/>
      <c r="E53" s="150"/>
      <c r="F53" s="150"/>
      <c r="G53" s="150"/>
      <c r="H53" s="150"/>
    </row>
    <row r="54" spans="1:8" hidden="1">
      <c r="A54" s="150"/>
      <c r="B54" s="150"/>
      <c r="C54" s="150"/>
      <c r="D54" s="150"/>
      <c r="E54" s="150"/>
      <c r="F54" s="150"/>
      <c r="G54" s="150"/>
      <c r="H54" s="150"/>
    </row>
    <row r="55" spans="1:8" hidden="1">
      <c r="A55" s="150"/>
      <c r="B55" s="150"/>
      <c r="C55" s="150"/>
      <c r="D55" s="150"/>
      <c r="E55" s="150"/>
      <c r="F55" s="150"/>
      <c r="G55" s="150"/>
      <c r="H55" s="150"/>
    </row>
    <row r="56" spans="1:8" hidden="1">
      <c r="A56" s="150"/>
      <c r="B56" s="150"/>
      <c r="C56" s="150"/>
      <c r="D56" s="150"/>
      <c r="E56" s="150"/>
      <c r="F56" s="150"/>
      <c r="G56" s="150"/>
      <c r="H56" s="150"/>
    </row>
    <row r="57" spans="1:8" hidden="1">
      <c r="A57" s="150"/>
      <c r="B57" s="150"/>
      <c r="C57" s="150"/>
      <c r="D57" s="150"/>
      <c r="E57" s="150"/>
      <c r="F57" s="150"/>
      <c r="G57" s="150"/>
      <c r="H57" s="150"/>
    </row>
    <row r="58" spans="1:8" hidden="1">
      <c r="A58" s="150"/>
      <c r="B58" s="150"/>
      <c r="C58" s="150"/>
      <c r="D58" s="150"/>
      <c r="E58" s="150"/>
      <c r="F58" s="150"/>
      <c r="G58" s="150"/>
      <c r="H58" s="150"/>
    </row>
    <row r="59" spans="1:8" hidden="1">
      <c r="A59" s="150"/>
      <c r="B59" s="150"/>
      <c r="C59" s="150"/>
      <c r="D59" s="150"/>
      <c r="E59" s="150"/>
      <c r="F59" s="150"/>
      <c r="G59" s="150"/>
      <c r="H59" s="150"/>
    </row>
    <row r="60" spans="1:8" hidden="1">
      <c r="A60" s="150"/>
      <c r="B60" s="150"/>
      <c r="C60" s="150"/>
      <c r="D60" s="150"/>
      <c r="E60" s="150"/>
      <c r="F60" s="150"/>
      <c r="G60" s="150"/>
      <c r="H60" s="150"/>
    </row>
    <row r="61" spans="1:8" hidden="1">
      <c r="A61" s="150"/>
      <c r="B61" s="150"/>
      <c r="C61" s="150"/>
      <c r="D61" s="150"/>
      <c r="E61" s="150"/>
      <c r="F61" s="150"/>
      <c r="G61" s="150"/>
      <c r="H61" s="150"/>
    </row>
    <row r="62" spans="1:8" hidden="1">
      <c r="A62" s="150"/>
      <c r="B62" s="150"/>
      <c r="C62" s="150"/>
      <c r="D62" s="150"/>
      <c r="E62" s="150"/>
      <c r="F62" s="150"/>
      <c r="G62" s="150"/>
      <c r="H62" s="150"/>
    </row>
    <row r="63" spans="1:8" hidden="1">
      <c r="A63" s="150"/>
      <c r="B63" s="150"/>
      <c r="C63" s="150"/>
      <c r="D63" s="150"/>
      <c r="E63" s="150"/>
      <c r="F63" s="150"/>
      <c r="G63" s="150"/>
      <c r="H63" s="150"/>
    </row>
    <row r="64" spans="1:8" hidden="1">
      <c r="A64" s="150"/>
      <c r="B64" s="150"/>
      <c r="C64" s="150"/>
      <c r="D64" s="150"/>
      <c r="E64" s="150"/>
      <c r="F64" s="150"/>
      <c r="G64" s="150"/>
      <c r="H64" s="150"/>
    </row>
    <row r="65" spans="1:8" hidden="1">
      <c r="A65" s="150"/>
      <c r="B65" s="150"/>
      <c r="C65" s="150"/>
      <c r="D65" s="150"/>
      <c r="E65" s="150"/>
      <c r="F65" s="150"/>
      <c r="G65" s="150"/>
      <c r="H65" s="150"/>
    </row>
    <row r="66" spans="1:8" hidden="1">
      <c r="A66" s="150"/>
      <c r="B66" s="150"/>
      <c r="C66" s="150"/>
      <c r="D66" s="150"/>
      <c r="E66" s="150"/>
      <c r="F66" s="150"/>
      <c r="G66" s="150"/>
      <c r="H66" s="150"/>
    </row>
    <row r="67" spans="1:8" hidden="1">
      <c r="A67" s="150"/>
      <c r="B67" s="150"/>
      <c r="C67" s="150"/>
      <c r="D67" s="150"/>
      <c r="E67" s="150"/>
      <c r="F67" s="150"/>
      <c r="G67" s="150"/>
      <c r="H67" s="150"/>
    </row>
    <row r="68" spans="1:8" hidden="1">
      <c r="A68" s="150"/>
      <c r="B68" s="150"/>
      <c r="C68" s="150"/>
      <c r="D68" s="150"/>
      <c r="E68" s="150"/>
      <c r="F68" s="150"/>
      <c r="G68" s="150"/>
      <c r="H68" s="150"/>
    </row>
    <row r="69" spans="1:8" hidden="1">
      <c r="A69" s="150"/>
      <c r="B69" s="150"/>
      <c r="C69" s="150"/>
      <c r="D69" s="150"/>
      <c r="E69" s="150"/>
      <c r="F69" s="150"/>
      <c r="G69" s="150"/>
      <c r="H69" s="150"/>
    </row>
    <row r="70" spans="1:8" hidden="1">
      <c r="A70" s="150"/>
      <c r="B70" s="150"/>
      <c r="C70" s="150"/>
      <c r="D70" s="150"/>
      <c r="E70" s="150"/>
      <c r="F70" s="150"/>
      <c r="G70" s="150"/>
      <c r="H70" s="150"/>
    </row>
    <row r="71" spans="1:8" hidden="1">
      <c r="A71" s="150"/>
      <c r="B71" s="150"/>
      <c r="C71" s="150"/>
      <c r="D71" s="150"/>
      <c r="E71" s="150"/>
      <c r="F71" s="150"/>
      <c r="G71" s="150"/>
      <c r="H71" s="150"/>
    </row>
    <row r="72" spans="1:8" hidden="1">
      <c r="A72" s="150"/>
      <c r="B72" s="150"/>
      <c r="C72" s="150"/>
      <c r="D72" s="150"/>
      <c r="E72" s="150"/>
      <c r="F72" s="150"/>
      <c r="G72" s="150"/>
      <c r="H72" s="150"/>
    </row>
    <row r="73" spans="1:8" hidden="1">
      <c r="A73" s="150"/>
      <c r="B73" s="150"/>
      <c r="C73" s="150"/>
      <c r="D73" s="150"/>
      <c r="E73" s="150"/>
      <c r="F73" s="150"/>
      <c r="G73" s="150"/>
      <c r="H73" s="150"/>
    </row>
    <row r="74" spans="1:8" hidden="1">
      <c r="A74" s="150"/>
      <c r="B74" s="150"/>
      <c r="C74" s="150"/>
      <c r="D74" s="150"/>
      <c r="E74" s="150"/>
      <c r="F74" s="150"/>
      <c r="G74" s="150"/>
      <c r="H74" s="150"/>
    </row>
    <row r="75" spans="1:8" hidden="1">
      <c r="A75" s="150"/>
      <c r="B75" s="150"/>
      <c r="C75" s="150"/>
      <c r="D75" s="150"/>
      <c r="E75" s="150"/>
      <c r="F75" s="150"/>
      <c r="G75" s="150"/>
      <c r="H75" s="150"/>
    </row>
    <row r="76" spans="1:8" hidden="1">
      <c r="A76" s="150"/>
      <c r="B76" s="150"/>
      <c r="C76" s="150"/>
      <c r="D76" s="150"/>
      <c r="E76" s="150"/>
      <c r="F76" s="150"/>
      <c r="G76" s="150"/>
      <c r="H76" s="150"/>
    </row>
    <row r="77" spans="1:8" hidden="1">
      <c r="A77" s="150"/>
      <c r="B77" s="150"/>
      <c r="C77" s="150"/>
      <c r="D77" s="150"/>
      <c r="E77" s="150"/>
      <c r="F77" s="150"/>
      <c r="G77" s="150"/>
      <c r="H77" s="150"/>
    </row>
    <row r="78" spans="1:8" hidden="1">
      <c r="A78" s="150"/>
      <c r="B78" s="150"/>
      <c r="C78" s="150"/>
      <c r="D78" s="150"/>
      <c r="E78" s="150"/>
      <c r="F78" s="150"/>
      <c r="G78" s="150"/>
      <c r="H78" s="150"/>
    </row>
    <row r="79" spans="1:8" hidden="1">
      <c r="A79" s="150"/>
      <c r="B79" s="150"/>
      <c r="C79" s="150"/>
      <c r="D79" s="150"/>
      <c r="E79" s="150"/>
      <c r="F79" s="150"/>
      <c r="G79" s="150"/>
      <c r="H79" s="150"/>
    </row>
    <row r="80" spans="1:8" hidden="1">
      <c r="A80" s="150"/>
      <c r="B80" s="150"/>
      <c r="C80" s="150"/>
      <c r="D80" s="150"/>
      <c r="E80" s="150"/>
      <c r="F80" s="150"/>
      <c r="G80" s="150"/>
      <c r="H80" s="150"/>
    </row>
    <row r="81" spans="1:8" hidden="1">
      <c r="A81" s="150"/>
      <c r="B81" s="150"/>
      <c r="C81" s="150"/>
      <c r="D81" s="150"/>
      <c r="E81" s="150"/>
      <c r="F81" s="150"/>
      <c r="G81" s="150"/>
      <c r="H81" s="150"/>
    </row>
    <row r="82" spans="1:8" hidden="1">
      <c r="A82" s="150"/>
      <c r="B82" s="150"/>
      <c r="C82" s="150"/>
      <c r="D82" s="150"/>
      <c r="E82" s="150"/>
      <c r="F82" s="150"/>
      <c r="G82" s="150"/>
      <c r="H82" s="150"/>
    </row>
    <row r="83" spans="1:8" hidden="1">
      <c r="A83" s="150"/>
      <c r="B83" s="150"/>
      <c r="C83" s="150"/>
      <c r="D83" s="150"/>
      <c r="E83" s="150"/>
      <c r="F83" s="150"/>
      <c r="G83" s="150"/>
      <c r="H83" s="150"/>
    </row>
    <row r="84" spans="1:8" hidden="1">
      <c r="A84" s="150"/>
      <c r="B84" s="150"/>
      <c r="C84" s="150"/>
      <c r="D84" s="150"/>
      <c r="E84" s="150"/>
      <c r="F84" s="150"/>
      <c r="G84" s="150"/>
      <c r="H84" s="150"/>
    </row>
    <row r="85" spans="1:8" hidden="1">
      <c r="A85" s="150"/>
      <c r="B85" s="150"/>
      <c r="C85" s="150"/>
      <c r="D85" s="150"/>
      <c r="E85" s="150"/>
      <c r="F85" s="150"/>
      <c r="G85" s="150"/>
      <c r="H85" s="150"/>
    </row>
    <row r="86" spans="1:8" hidden="1">
      <c r="A86" s="150"/>
      <c r="B86" s="150"/>
      <c r="C86" s="150"/>
      <c r="D86" s="150"/>
      <c r="E86" s="150"/>
      <c r="F86" s="150"/>
      <c r="G86" s="150"/>
      <c r="H86" s="150"/>
    </row>
    <row r="87" spans="1:8" hidden="1">
      <c r="A87" s="150"/>
      <c r="B87" s="150"/>
      <c r="C87" s="150"/>
      <c r="D87" s="150"/>
      <c r="E87" s="150"/>
      <c r="F87" s="150"/>
      <c r="G87" s="150"/>
      <c r="H87" s="150"/>
    </row>
    <row r="88" spans="1:8" hidden="1">
      <c r="A88" s="150"/>
      <c r="B88" s="150"/>
      <c r="C88" s="150"/>
      <c r="D88" s="150"/>
      <c r="E88" s="150"/>
      <c r="F88" s="150"/>
      <c r="G88" s="150"/>
      <c r="H88" s="150"/>
    </row>
    <row r="89" spans="1:8" hidden="1">
      <c r="A89" s="150"/>
      <c r="B89" s="150"/>
      <c r="C89" s="150"/>
      <c r="D89" s="150"/>
      <c r="E89" s="150"/>
      <c r="F89" s="150"/>
      <c r="G89" s="150"/>
      <c r="H89" s="150"/>
    </row>
    <row r="90" spans="1:8" hidden="1">
      <c r="A90" s="150"/>
      <c r="B90" s="150"/>
      <c r="C90" s="150"/>
      <c r="D90" s="150"/>
      <c r="E90" s="150"/>
      <c r="F90" s="150"/>
      <c r="G90" s="150"/>
      <c r="H90" s="150"/>
    </row>
    <row r="91" spans="1:8" hidden="1">
      <c r="A91" s="150"/>
      <c r="B91" s="150"/>
      <c r="C91" s="150"/>
      <c r="D91" s="150"/>
      <c r="E91" s="150"/>
      <c r="F91" s="150"/>
      <c r="G91" s="150"/>
      <c r="H91" s="150"/>
    </row>
    <row r="92" spans="1:8" hidden="1">
      <c r="A92" s="150"/>
      <c r="B92" s="150"/>
      <c r="C92" s="150"/>
      <c r="D92" s="150"/>
      <c r="E92" s="150"/>
      <c r="F92" s="150"/>
      <c r="G92" s="150"/>
      <c r="H92" s="150"/>
    </row>
    <row r="93" spans="1:8" hidden="1">
      <c r="A93" s="150"/>
      <c r="B93" s="150"/>
      <c r="C93" s="150"/>
      <c r="D93" s="150"/>
      <c r="E93" s="150"/>
      <c r="F93" s="150"/>
      <c r="G93" s="150"/>
      <c r="H93" s="150"/>
    </row>
    <row r="94" spans="1:8" hidden="1">
      <c r="A94" s="150"/>
      <c r="B94" s="150"/>
      <c r="C94" s="150"/>
      <c r="D94" s="150"/>
      <c r="E94" s="150"/>
      <c r="F94" s="150"/>
      <c r="G94" s="150"/>
      <c r="H94" s="150"/>
    </row>
    <row r="95" spans="1:8" hidden="1">
      <c r="A95" s="150"/>
      <c r="B95" s="150"/>
      <c r="C95" s="150"/>
      <c r="D95" s="150"/>
      <c r="E95" s="150"/>
      <c r="F95" s="150"/>
      <c r="G95" s="150"/>
      <c r="H95" s="150"/>
    </row>
    <row r="96" spans="1:8" hidden="1">
      <c r="A96" s="150"/>
      <c r="B96" s="150"/>
      <c r="C96" s="150"/>
      <c r="D96" s="150"/>
      <c r="E96" s="150"/>
      <c r="F96" s="150"/>
      <c r="G96" s="150"/>
      <c r="H96" s="150"/>
    </row>
    <row r="97" spans="1:8" hidden="1">
      <c r="A97" s="150"/>
      <c r="B97" s="150"/>
      <c r="C97" s="150"/>
      <c r="D97" s="150"/>
      <c r="E97" s="150"/>
      <c r="F97" s="150"/>
      <c r="G97" s="150"/>
      <c r="H97" s="150"/>
    </row>
    <row r="98" spans="1:8" hidden="1">
      <c r="A98" s="150"/>
      <c r="B98" s="150"/>
      <c r="C98" s="150"/>
      <c r="D98" s="150"/>
      <c r="E98" s="150"/>
      <c r="F98" s="150"/>
      <c r="G98" s="150"/>
      <c r="H98" s="150"/>
    </row>
    <row r="99" spans="1:8" hidden="1">
      <c r="A99" s="150"/>
      <c r="B99" s="150"/>
      <c r="C99" s="150"/>
      <c r="D99" s="150"/>
      <c r="E99" s="150"/>
      <c r="F99" s="150"/>
      <c r="G99" s="150"/>
      <c r="H99" s="150"/>
    </row>
    <row r="100" spans="1:8" hidden="1">
      <c r="A100" s="150"/>
      <c r="B100" s="150"/>
      <c r="C100" s="150"/>
      <c r="D100" s="150"/>
      <c r="E100" s="150"/>
      <c r="F100" s="150"/>
      <c r="G100" s="150"/>
      <c r="H100" s="150"/>
    </row>
    <row r="101" spans="1:8" hidden="1">
      <c r="A101" s="150"/>
      <c r="B101" s="150"/>
      <c r="C101" s="150"/>
      <c r="D101" s="150"/>
      <c r="E101" s="150"/>
      <c r="F101" s="150"/>
      <c r="G101" s="150"/>
      <c r="H101" s="150"/>
    </row>
    <row r="102" spans="1:8" hidden="1">
      <c r="A102" s="150"/>
      <c r="B102" s="150"/>
      <c r="C102" s="150"/>
      <c r="D102" s="150"/>
      <c r="E102" s="150"/>
      <c r="F102" s="150"/>
      <c r="G102" s="150"/>
      <c r="H102" s="150"/>
    </row>
    <row r="103" spans="1:8" hidden="1">
      <c r="A103" s="150"/>
      <c r="B103" s="150"/>
      <c r="C103" s="150"/>
      <c r="D103" s="150"/>
      <c r="E103" s="150"/>
      <c r="F103" s="150"/>
      <c r="G103" s="150"/>
      <c r="H103" s="150"/>
    </row>
    <row r="104" spans="1:8" hidden="1">
      <c r="A104" s="150"/>
      <c r="B104" s="150"/>
      <c r="C104" s="150"/>
      <c r="D104" s="150"/>
      <c r="E104" s="150"/>
      <c r="F104" s="150"/>
      <c r="G104" s="150"/>
      <c r="H104" s="150"/>
    </row>
    <row r="105" spans="1:8" hidden="1">
      <c r="A105" s="150"/>
      <c r="B105" s="150"/>
      <c r="C105" s="150"/>
      <c r="D105" s="150"/>
      <c r="E105" s="150"/>
      <c r="F105" s="150"/>
      <c r="G105" s="150"/>
      <c r="H105" s="150"/>
    </row>
    <row r="106" spans="1:8" hidden="1">
      <c r="A106" s="150"/>
      <c r="B106" s="150"/>
      <c r="C106" s="150"/>
      <c r="D106" s="150"/>
      <c r="E106" s="150"/>
      <c r="F106" s="150"/>
      <c r="G106" s="150"/>
      <c r="H106" s="150"/>
    </row>
    <row r="107" spans="1:8" hidden="1">
      <c r="A107" s="150"/>
      <c r="B107" s="150"/>
      <c r="C107" s="150"/>
      <c r="D107" s="150"/>
      <c r="E107" s="150"/>
      <c r="F107" s="150"/>
      <c r="G107" s="150"/>
      <c r="H107" s="150"/>
    </row>
    <row r="108" spans="1:8" hidden="1">
      <c r="A108" s="150"/>
      <c r="B108" s="150"/>
      <c r="C108" s="150"/>
      <c r="D108" s="150"/>
      <c r="E108" s="150"/>
      <c r="F108" s="150"/>
      <c r="G108" s="150"/>
      <c r="H108" s="150"/>
    </row>
    <row r="109" spans="1:8" hidden="1">
      <c r="A109" s="150"/>
      <c r="B109" s="150"/>
      <c r="C109" s="150"/>
      <c r="D109" s="150"/>
      <c r="E109" s="150"/>
      <c r="F109" s="150"/>
      <c r="G109" s="150"/>
      <c r="H109" s="150"/>
    </row>
    <row r="110" spans="1:8" hidden="1">
      <c r="A110" s="150"/>
      <c r="B110" s="150"/>
      <c r="C110" s="150"/>
      <c r="D110" s="150"/>
      <c r="E110" s="150"/>
      <c r="F110" s="150"/>
      <c r="G110" s="150"/>
      <c r="H110" s="150"/>
    </row>
    <row r="111" spans="1:8" hidden="1">
      <c r="A111" s="150"/>
      <c r="B111" s="150"/>
      <c r="C111" s="150"/>
      <c r="D111" s="150"/>
      <c r="E111" s="150"/>
      <c r="F111" s="150"/>
      <c r="G111" s="150"/>
      <c r="H111" s="150"/>
    </row>
    <row r="112" spans="1:8" hidden="1">
      <c r="A112" s="150"/>
      <c r="B112" s="150"/>
      <c r="C112" s="150"/>
      <c r="D112" s="150"/>
      <c r="E112" s="150"/>
      <c r="F112" s="150"/>
      <c r="G112" s="150"/>
      <c r="H112" s="150"/>
    </row>
    <row r="113" spans="1:8" hidden="1">
      <c r="A113" s="150"/>
      <c r="B113" s="150"/>
      <c r="C113" s="150"/>
      <c r="D113" s="150"/>
      <c r="E113" s="150"/>
      <c r="F113" s="150"/>
      <c r="G113" s="150"/>
      <c r="H113" s="150"/>
    </row>
    <row r="114" spans="1:8" hidden="1">
      <c r="A114" s="150"/>
      <c r="B114" s="150"/>
      <c r="C114" s="150"/>
      <c r="D114" s="150"/>
      <c r="E114" s="150"/>
      <c r="F114" s="150"/>
      <c r="G114" s="150"/>
      <c r="H114" s="150"/>
    </row>
    <row r="115" spans="1:8" hidden="1">
      <c r="A115" s="150"/>
      <c r="B115" s="150"/>
      <c r="C115" s="150"/>
      <c r="D115" s="150"/>
      <c r="E115" s="150"/>
      <c r="F115" s="150"/>
      <c r="G115" s="150"/>
      <c r="H115" s="150"/>
    </row>
    <row r="116" spans="1:8" hidden="1">
      <c r="A116" s="150"/>
      <c r="B116" s="150"/>
      <c r="C116" s="150"/>
      <c r="D116" s="150"/>
      <c r="E116" s="150"/>
      <c r="F116" s="150"/>
      <c r="G116" s="150"/>
      <c r="H116" s="150"/>
    </row>
    <row r="117" spans="1:8" hidden="1">
      <c r="A117" s="150"/>
      <c r="B117" s="150"/>
      <c r="C117" s="150"/>
      <c r="D117" s="150"/>
      <c r="E117" s="150"/>
      <c r="F117" s="150"/>
      <c r="G117" s="150"/>
      <c r="H117" s="150"/>
    </row>
    <row r="118" spans="1:8" hidden="1">
      <c r="A118" s="150"/>
      <c r="B118" s="150"/>
      <c r="C118" s="150"/>
      <c r="D118" s="150"/>
      <c r="E118" s="150"/>
      <c r="F118" s="150"/>
      <c r="G118" s="150"/>
      <c r="H118" s="150"/>
    </row>
    <row r="119" spans="1:8" hidden="1">
      <c r="A119" s="150"/>
      <c r="B119" s="150"/>
      <c r="C119" s="150"/>
      <c r="D119" s="150"/>
      <c r="E119" s="150"/>
      <c r="F119" s="150"/>
      <c r="G119" s="150"/>
      <c r="H119" s="150"/>
    </row>
    <row r="120" spans="1:8">
      <c r="A120" s="150"/>
      <c r="B120" s="150"/>
      <c r="C120" s="150"/>
      <c r="D120" s="150"/>
      <c r="E120" s="150"/>
      <c r="F120" s="150"/>
      <c r="G120" s="150"/>
      <c r="H120" s="150"/>
    </row>
    <row r="121" spans="1:8">
      <c r="A121" s="150"/>
      <c r="B121" s="150"/>
      <c r="C121" s="150"/>
      <c r="D121" s="150"/>
      <c r="E121" s="150"/>
      <c r="F121" s="150"/>
      <c r="G121" s="150"/>
      <c r="H121" s="150"/>
    </row>
    <row r="122" spans="1:8">
      <c r="A122" s="150"/>
      <c r="B122" s="150"/>
      <c r="C122" s="150"/>
      <c r="D122" s="150"/>
      <c r="E122" s="150"/>
      <c r="F122" s="150"/>
      <c r="G122" s="150"/>
      <c r="H122" s="150"/>
    </row>
    <row r="123" spans="1:8">
      <c r="A123" s="150"/>
      <c r="B123" s="150"/>
      <c r="C123" s="150"/>
      <c r="D123" s="150"/>
      <c r="E123" s="150"/>
      <c r="F123" s="150"/>
      <c r="G123" s="150"/>
      <c r="H123" s="150"/>
    </row>
    <row r="124" spans="1:8">
      <c r="A124" s="150"/>
      <c r="B124" s="150"/>
      <c r="C124" s="150"/>
      <c r="D124" s="150"/>
      <c r="E124" s="150"/>
      <c r="F124" s="150"/>
      <c r="G124" s="150"/>
      <c r="H124" s="150"/>
    </row>
    <row r="125" spans="1:8">
      <c r="A125" s="150"/>
      <c r="B125" s="150"/>
      <c r="C125" s="150"/>
      <c r="D125" s="150"/>
      <c r="E125" s="150"/>
      <c r="F125" s="150"/>
      <c r="G125" s="150"/>
      <c r="H125" s="150"/>
    </row>
    <row r="126" spans="1:8">
      <c r="A126" s="150"/>
      <c r="B126" s="150"/>
      <c r="C126" s="150"/>
      <c r="D126" s="150"/>
      <c r="E126" s="150"/>
      <c r="F126" s="150"/>
      <c r="G126" s="150"/>
      <c r="H126" s="150"/>
    </row>
    <row r="127" spans="1:8">
      <c r="A127" s="150"/>
      <c r="B127" s="150"/>
      <c r="C127" s="150"/>
      <c r="D127" s="150"/>
      <c r="E127" s="150"/>
      <c r="F127" s="150"/>
      <c r="G127" s="150"/>
      <c r="H127" s="150"/>
    </row>
    <row r="128" spans="1:8">
      <c r="A128" s="150"/>
      <c r="B128" s="150"/>
      <c r="C128" s="150"/>
      <c r="D128" s="150"/>
      <c r="E128" s="150"/>
      <c r="F128" s="150"/>
      <c r="G128" s="150"/>
      <c r="H128" s="150"/>
    </row>
    <row r="129" spans="1:8">
      <c r="A129" s="150"/>
      <c r="B129" s="150"/>
      <c r="C129" s="150"/>
      <c r="D129" s="150"/>
      <c r="E129" s="150"/>
      <c r="F129" s="150"/>
      <c r="G129" s="150"/>
      <c r="H129" s="150"/>
    </row>
    <row r="130" spans="1:8">
      <c r="A130" s="150"/>
      <c r="B130" s="150"/>
      <c r="C130" s="150"/>
      <c r="D130" s="150"/>
      <c r="E130" s="150"/>
      <c r="F130" s="150"/>
      <c r="G130" s="150"/>
      <c r="H130" s="150"/>
    </row>
    <row r="131" spans="1:8">
      <c r="A131" s="150"/>
      <c r="B131" s="150"/>
      <c r="C131" s="150"/>
      <c r="D131" s="150"/>
      <c r="E131" s="150"/>
      <c r="F131" s="150"/>
      <c r="G131" s="150"/>
      <c r="H131" s="150"/>
    </row>
    <row r="132" spans="1:8">
      <c r="A132" s="150"/>
      <c r="B132" s="150"/>
      <c r="C132" s="150"/>
      <c r="D132" s="150"/>
      <c r="E132" s="150"/>
      <c r="F132" s="150"/>
      <c r="G132" s="150"/>
      <c r="H132" s="150"/>
    </row>
    <row r="133" spans="1:8">
      <c r="A133" s="150"/>
      <c r="B133" s="150"/>
      <c r="C133" s="150"/>
      <c r="D133" s="150"/>
      <c r="E133" s="150"/>
      <c r="F133" s="150"/>
      <c r="G133" s="150"/>
      <c r="H133" s="150"/>
    </row>
    <row r="134" spans="1:8">
      <c r="A134" s="150"/>
      <c r="B134" s="150"/>
      <c r="C134" s="150"/>
      <c r="D134" s="150"/>
      <c r="E134" s="150"/>
      <c r="F134" s="150"/>
      <c r="G134" s="150"/>
      <c r="H134" s="150"/>
    </row>
    <row r="135" spans="1:8">
      <c r="A135" s="150"/>
      <c r="B135" s="150"/>
      <c r="C135" s="150"/>
      <c r="D135" s="150"/>
      <c r="E135" s="150"/>
      <c r="F135" s="150"/>
      <c r="G135" s="150"/>
      <c r="H135" s="150"/>
    </row>
    <row r="136" spans="1:8">
      <c r="A136" s="150"/>
      <c r="B136" s="150"/>
      <c r="C136" s="150"/>
      <c r="D136" s="150"/>
      <c r="E136" s="150"/>
      <c r="F136" s="150"/>
      <c r="G136" s="150"/>
      <c r="H136" s="150"/>
    </row>
    <row r="137" spans="1:8">
      <c r="A137" s="150"/>
      <c r="B137" s="150"/>
      <c r="C137" s="150"/>
      <c r="D137" s="150"/>
      <c r="E137" s="150"/>
      <c r="F137" s="150"/>
      <c r="G137" s="150"/>
      <c r="H137" s="150"/>
    </row>
    <row r="138" spans="1:8">
      <c r="A138" s="150"/>
      <c r="B138" s="150"/>
      <c r="C138" s="150"/>
      <c r="D138" s="150"/>
      <c r="E138" s="150"/>
      <c r="F138" s="150"/>
      <c r="G138" s="150"/>
      <c r="H138" s="150"/>
    </row>
    <row r="139" spans="1:8">
      <c r="A139" s="150"/>
      <c r="B139" s="150"/>
      <c r="C139" s="150"/>
      <c r="D139" s="150"/>
      <c r="E139" s="150"/>
      <c r="F139" s="150"/>
      <c r="G139" s="150"/>
      <c r="H139" s="150"/>
    </row>
    <row r="140" spans="1:8">
      <c r="A140" s="150"/>
      <c r="B140" s="150"/>
      <c r="C140" s="150"/>
      <c r="D140" s="150"/>
      <c r="E140" s="150"/>
      <c r="F140" s="150"/>
      <c r="G140" s="150"/>
      <c r="H140" s="150"/>
    </row>
    <row r="141" spans="1:8">
      <c r="A141" s="150"/>
      <c r="B141" s="150"/>
      <c r="C141" s="150"/>
      <c r="D141" s="150"/>
      <c r="E141" s="150"/>
      <c r="F141" s="150"/>
      <c r="G141" s="150"/>
      <c r="H141" s="150"/>
    </row>
    <row r="142" spans="1:8">
      <c r="A142" s="150"/>
      <c r="B142" s="150"/>
      <c r="C142" s="150"/>
      <c r="D142" s="150"/>
      <c r="E142" s="150"/>
      <c r="F142" s="150"/>
      <c r="G142" s="150"/>
      <c r="H142" s="150"/>
    </row>
    <row r="143" spans="1:8">
      <c r="A143" s="150"/>
      <c r="B143" s="150"/>
      <c r="C143" s="150"/>
      <c r="D143" s="150"/>
      <c r="E143" s="150"/>
      <c r="F143" s="150"/>
      <c r="G143" s="150"/>
      <c r="H143" s="150"/>
    </row>
    <row r="144" spans="1:8">
      <c r="A144" s="150"/>
      <c r="B144" s="150"/>
      <c r="C144" s="150"/>
      <c r="D144" s="150"/>
      <c r="E144" s="150"/>
      <c r="F144" s="150"/>
      <c r="G144" s="150"/>
      <c r="H144" s="150"/>
    </row>
    <row r="145" spans="1:8">
      <c r="A145" s="150"/>
      <c r="B145" s="150"/>
      <c r="C145" s="150"/>
      <c r="D145" s="150"/>
      <c r="E145" s="150"/>
      <c r="F145" s="150"/>
      <c r="G145" s="150"/>
      <c r="H145" s="150"/>
    </row>
    <row r="146" spans="1:8">
      <c r="A146" s="150"/>
      <c r="B146" s="150"/>
      <c r="C146" s="150"/>
      <c r="D146" s="150"/>
      <c r="E146" s="150"/>
      <c r="F146" s="150"/>
      <c r="G146" s="150"/>
      <c r="H146" s="150"/>
    </row>
    <row r="147" spans="1:8">
      <c r="A147" s="150"/>
      <c r="B147" s="150"/>
      <c r="C147" s="150"/>
      <c r="D147" s="150"/>
      <c r="E147" s="150"/>
      <c r="F147" s="150"/>
      <c r="G147" s="150"/>
      <c r="H147" s="150"/>
    </row>
    <row r="148" spans="1:8">
      <c r="A148" s="150"/>
      <c r="B148" s="150"/>
      <c r="C148" s="150"/>
      <c r="D148" s="150"/>
      <c r="E148" s="150"/>
      <c r="F148" s="150"/>
      <c r="G148" s="150"/>
      <c r="H148" s="150"/>
    </row>
    <row r="149" spans="1:8">
      <c r="A149" s="150"/>
      <c r="B149" s="150"/>
      <c r="C149" s="150"/>
      <c r="D149" s="150"/>
      <c r="E149" s="150"/>
      <c r="F149" s="150"/>
      <c r="G149" s="150"/>
      <c r="H149" s="150"/>
    </row>
    <row r="150" spans="1:8">
      <c r="A150" s="150"/>
      <c r="B150" s="150"/>
      <c r="C150" s="150"/>
      <c r="D150" s="150"/>
      <c r="E150" s="150"/>
      <c r="F150" s="150"/>
      <c r="G150" s="150"/>
      <c r="H150" s="150"/>
    </row>
    <row r="151" spans="1:8">
      <c r="A151" s="150"/>
      <c r="B151" s="150"/>
      <c r="C151" s="150"/>
      <c r="D151" s="150"/>
      <c r="E151" s="150"/>
      <c r="F151" s="150"/>
      <c r="G151" s="150"/>
      <c r="H151" s="150"/>
    </row>
    <row r="152" spans="1:8">
      <c r="A152" s="150"/>
      <c r="B152" s="150"/>
      <c r="C152" s="150"/>
      <c r="D152" s="150"/>
      <c r="E152" s="150"/>
      <c r="F152" s="150"/>
      <c r="G152" s="150"/>
      <c r="H152" s="150"/>
    </row>
    <row r="153" spans="1:8">
      <c r="A153" s="150"/>
      <c r="B153" s="150"/>
      <c r="C153" s="150"/>
      <c r="D153" s="150"/>
      <c r="E153" s="150"/>
      <c r="F153" s="150"/>
      <c r="G153" s="150"/>
      <c r="H153" s="150"/>
    </row>
    <row r="154" spans="1:8">
      <c r="A154" s="150"/>
      <c r="B154" s="150"/>
      <c r="C154" s="150"/>
      <c r="D154" s="150"/>
      <c r="E154" s="150"/>
      <c r="F154" s="150"/>
      <c r="G154" s="150"/>
      <c r="H154" s="150"/>
    </row>
    <row r="155" spans="1:8">
      <c r="A155" s="150"/>
      <c r="B155" s="150"/>
      <c r="C155" s="150"/>
      <c r="D155" s="150"/>
      <c r="E155" s="150"/>
      <c r="F155" s="150"/>
      <c r="G155" s="150"/>
      <c r="H155" s="150"/>
    </row>
    <row r="156" spans="1:8">
      <c r="A156" s="150"/>
      <c r="B156" s="150"/>
      <c r="C156" s="150"/>
      <c r="D156" s="150"/>
      <c r="E156" s="150"/>
      <c r="F156" s="150"/>
      <c r="G156" s="150"/>
      <c r="H156" s="150"/>
    </row>
    <row r="157" spans="1:8">
      <c r="A157" s="150"/>
      <c r="B157" s="150"/>
      <c r="C157" s="150"/>
      <c r="D157" s="150"/>
      <c r="E157" s="150"/>
      <c r="F157" s="150"/>
      <c r="G157" s="150"/>
      <c r="H157" s="150"/>
    </row>
    <row r="158" spans="1:8">
      <c r="A158" s="150"/>
      <c r="B158" s="150"/>
      <c r="C158" s="150"/>
      <c r="D158" s="150"/>
      <c r="E158" s="150"/>
      <c r="F158" s="150"/>
      <c r="G158" s="150"/>
      <c r="H158" s="150"/>
    </row>
    <row r="159" spans="1:8">
      <c r="A159" s="150"/>
      <c r="B159" s="150"/>
      <c r="C159" s="150"/>
      <c r="D159" s="150"/>
      <c r="E159" s="150"/>
      <c r="F159" s="150"/>
      <c r="G159" s="150"/>
      <c r="H159" s="150"/>
    </row>
    <row r="160" spans="1:8">
      <c r="A160" s="150"/>
      <c r="B160" s="150"/>
      <c r="C160" s="150"/>
      <c r="D160" s="150"/>
      <c r="E160" s="150"/>
      <c r="F160" s="150"/>
      <c r="G160" s="150"/>
      <c r="H160" s="150"/>
    </row>
    <row r="161" spans="1:8">
      <c r="A161" s="150"/>
      <c r="B161" s="150"/>
      <c r="C161" s="150"/>
      <c r="D161" s="150"/>
      <c r="E161" s="150"/>
      <c r="F161" s="150"/>
      <c r="G161" s="150"/>
      <c r="H161" s="150"/>
    </row>
    <row r="162" spans="1:8">
      <c r="A162" s="150"/>
      <c r="B162" s="150"/>
      <c r="C162" s="150"/>
      <c r="D162" s="150"/>
      <c r="E162" s="150"/>
      <c r="F162" s="150"/>
      <c r="G162" s="150"/>
      <c r="H162" s="150"/>
    </row>
    <row r="163" spans="1:8">
      <c r="A163" s="150"/>
      <c r="B163" s="150"/>
      <c r="C163" s="150"/>
      <c r="D163" s="150"/>
      <c r="E163" s="150"/>
      <c r="F163" s="150"/>
      <c r="G163" s="150"/>
      <c r="H163" s="150"/>
    </row>
    <row r="164" spans="1:8">
      <c r="A164" s="150"/>
      <c r="B164" s="150"/>
      <c r="C164" s="150"/>
      <c r="D164" s="150"/>
      <c r="E164" s="150"/>
      <c r="F164" s="150"/>
      <c r="G164" s="150"/>
      <c r="H164" s="150"/>
    </row>
    <row r="165" spans="1:8">
      <c r="A165" s="150"/>
      <c r="B165" s="150"/>
      <c r="C165" s="150"/>
      <c r="D165" s="150"/>
      <c r="E165" s="150"/>
      <c r="F165" s="150"/>
      <c r="G165" s="150"/>
      <c r="H165" s="150"/>
    </row>
    <row r="166" spans="1:8">
      <c r="A166" s="150"/>
      <c r="B166" s="150"/>
      <c r="C166" s="150"/>
      <c r="D166" s="150"/>
      <c r="E166" s="150"/>
      <c r="F166" s="150"/>
      <c r="G166" s="150"/>
      <c r="H166" s="150"/>
    </row>
    <row r="167" spans="1:8">
      <c r="A167" s="150"/>
      <c r="B167" s="150"/>
      <c r="C167" s="150"/>
      <c r="D167" s="150"/>
      <c r="E167" s="150"/>
      <c r="F167" s="150"/>
      <c r="G167" s="150"/>
      <c r="H167" s="150"/>
    </row>
    <row r="168" spans="1:8">
      <c r="A168" s="150"/>
      <c r="B168" s="150"/>
      <c r="C168" s="150"/>
      <c r="D168" s="150"/>
      <c r="E168" s="150"/>
      <c r="F168" s="150"/>
      <c r="G168" s="150"/>
      <c r="H168" s="150"/>
    </row>
    <row r="169" spans="1:8">
      <c r="A169" s="150"/>
      <c r="B169" s="150"/>
      <c r="C169" s="150"/>
      <c r="D169" s="150"/>
      <c r="E169" s="150"/>
      <c r="F169" s="150"/>
      <c r="G169" s="150"/>
      <c r="H169" s="150"/>
    </row>
    <row r="170" spans="1:8">
      <c r="A170" s="150"/>
      <c r="B170" s="150"/>
      <c r="C170" s="150"/>
      <c r="D170" s="150"/>
      <c r="E170" s="150"/>
      <c r="F170" s="150"/>
      <c r="G170" s="150"/>
      <c r="H170" s="150"/>
    </row>
    <row r="171" spans="1:8">
      <c r="A171" s="150"/>
      <c r="B171" s="150"/>
      <c r="C171" s="150"/>
      <c r="D171" s="150"/>
      <c r="E171" s="150"/>
      <c r="F171" s="150"/>
      <c r="G171" s="150"/>
      <c r="H171" s="150"/>
    </row>
    <row r="172" spans="1:8">
      <c r="A172" s="150"/>
      <c r="B172" s="150"/>
      <c r="C172" s="150"/>
      <c r="D172" s="150"/>
      <c r="E172" s="150"/>
      <c r="F172" s="150"/>
      <c r="G172" s="150"/>
      <c r="H172" s="150"/>
    </row>
    <row r="173" spans="1:8">
      <c r="A173" s="150"/>
      <c r="B173" s="150"/>
      <c r="C173" s="150"/>
      <c r="D173" s="150"/>
      <c r="E173" s="150"/>
      <c r="F173" s="150"/>
      <c r="G173" s="150"/>
      <c r="H173" s="150"/>
    </row>
    <row r="174" spans="1:8">
      <c r="A174" s="150"/>
      <c r="B174" s="150"/>
      <c r="C174" s="150"/>
      <c r="D174" s="150"/>
      <c r="E174" s="150"/>
      <c r="F174" s="150"/>
      <c r="G174" s="150"/>
      <c r="H174" s="150"/>
    </row>
    <row r="175" spans="1:8">
      <c r="A175" s="150"/>
      <c r="B175" s="150"/>
      <c r="C175" s="150"/>
      <c r="D175" s="150"/>
      <c r="E175" s="150"/>
      <c r="F175" s="150"/>
      <c r="G175" s="150"/>
      <c r="H175" s="150"/>
    </row>
    <row r="176" spans="1:8">
      <c r="A176" s="150"/>
      <c r="B176" s="150"/>
      <c r="C176" s="150"/>
      <c r="D176" s="150"/>
      <c r="E176" s="150"/>
      <c r="F176" s="150"/>
      <c r="G176" s="150"/>
      <c r="H176" s="150"/>
    </row>
    <row r="177" spans="1:8">
      <c r="A177" s="150"/>
      <c r="B177" s="150"/>
      <c r="C177" s="150"/>
      <c r="D177" s="150"/>
      <c r="E177" s="150"/>
      <c r="F177" s="150"/>
      <c r="G177" s="150"/>
      <c r="H177" s="150"/>
    </row>
    <row r="178" spans="1:8">
      <c r="A178" s="150"/>
      <c r="B178" s="150"/>
      <c r="C178" s="150"/>
      <c r="D178" s="150"/>
      <c r="E178" s="150"/>
      <c r="F178" s="150"/>
      <c r="G178" s="150"/>
      <c r="H178" s="150"/>
    </row>
    <row r="179" spans="1:8">
      <c r="A179" s="150"/>
      <c r="B179" s="150"/>
      <c r="C179" s="150"/>
      <c r="D179" s="150"/>
      <c r="E179" s="150"/>
      <c r="F179" s="150"/>
      <c r="G179" s="150"/>
      <c r="H179" s="150"/>
    </row>
    <row r="180" spans="1:8">
      <c r="A180" s="150"/>
      <c r="B180" s="150"/>
      <c r="C180" s="150"/>
      <c r="D180" s="150"/>
      <c r="E180" s="150"/>
      <c r="F180" s="150"/>
      <c r="G180" s="150"/>
      <c r="H180" s="150"/>
    </row>
    <row r="181" spans="1:8">
      <c r="A181" s="150"/>
      <c r="B181" s="150"/>
      <c r="C181" s="150"/>
      <c r="D181" s="150"/>
      <c r="E181" s="150"/>
      <c r="F181" s="150"/>
      <c r="G181" s="150"/>
      <c r="H181" s="150"/>
    </row>
    <row r="182" spans="1:8">
      <c r="A182" s="150"/>
      <c r="B182" s="150"/>
      <c r="C182" s="150"/>
      <c r="D182" s="150"/>
      <c r="E182" s="150"/>
      <c r="F182" s="150"/>
      <c r="G182" s="150"/>
      <c r="H182" s="150"/>
    </row>
    <row r="183" spans="1:8">
      <c r="A183" s="150"/>
      <c r="B183" s="150"/>
      <c r="C183" s="150"/>
      <c r="D183" s="150"/>
      <c r="E183" s="150"/>
      <c r="F183" s="150"/>
      <c r="G183" s="150"/>
      <c r="H183" s="150"/>
    </row>
    <row r="184" spans="1:8">
      <c r="A184" s="150"/>
      <c r="B184" s="150"/>
      <c r="C184" s="150"/>
      <c r="D184" s="150"/>
      <c r="E184" s="150"/>
      <c r="F184" s="150"/>
      <c r="G184" s="150"/>
      <c r="H184" s="150"/>
    </row>
    <row r="185" spans="1:8">
      <c r="A185" s="150"/>
      <c r="B185" s="150"/>
      <c r="C185" s="150"/>
      <c r="D185" s="150"/>
      <c r="E185" s="150"/>
      <c r="F185" s="150"/>
      <c r="G185" s="150"/>
      <c r="H185" s="150"/>
    </row>
    <row r="186" spans="1:8">
      <c r="A186" s="150"/>
      <c r="B186" s="150"/>
      <c r="C186" s="150"/>
      <c r="D186" s="150"/>
      <c r="E186" s="150"/>
      <c r="F186" s="150"/>
      <c r="G186" s="150"/>
      <c r="H186" s="150"/>
    </row>
    <row r="187" spans="1:8">
      <c r="A187" s="150"/>
      <c r="B187" s="150"/>
      <c r="C187" s="150"/>
      <c r="D187" s="150"/>
      <c r="E187" s="150"/>
      <c r="F187" s="150"/>
      <c r="G187" s="150"/>
      <c r="H187" s="150"/>
    </row>
    <row r="188" spans="1:8">
      <c r="A188" s="150"/>
      <c r="B188" s="150"/>
      <c r="C188" s="150"/>
      <c r="D188" s="150"/>
      <c r="E188" s="150"/>
      <c r="F188" s="150"/>
      <c r="G188" s="150"/>
      <c r="H188" s="150"/>
    </row>
    <row r="189" spans="1:8">
      <c r="A189" s="150"/>
      <c r="B189" s="150"/>
      <c r="C189" s="150"/>
      <c r="D189" s="150"/>
      <c r="E189" s="150"/>
      <c r="F189" s="150"/>
      <c r="G189" s="150"/>
      <c r="H189" s="150"/>
    </row>
    <row r="190" spans="1:8">
      <c r="A190" s="150"/>
      <c r="B190" s="150"/>
      <c r="C190" s="150"/>
      <c r="D190" s="150"/>
      <c r="E190" s="150"/>
      <c r="F190" s="150"/>
      <c r="G190" s="150"/>
      <c r="H190" s="150"/>
    </row>
    <row r="191" spans="1:8">
      <c r="A191" s="150"/>
      <c r="B191" s="150"/>
      <c r="C191" s="150"/>
      <c r="D191" s="150"/>
      <c r="E191" s="150"/>
      <c r="F191" s="150"/>
      <c r="G191" s="150"/>
      <c r="H191" s="150"/>
    </row>
    <row r="192" spans="1:8">
      <c r="A192" s="150"/>
      <c r="B192" s="150"/>
      <c r="C192" s="150"/>
      <c r="D192" s="150"/>
      <c r="E192" s="150"/>
      <c r="F192" s="150"/>
      <c r="G192" s="150"/>
      <c r="H192" s="150"/>
    </row>
    <row r="193" spans="1:8">
      <c r="A193" s="150"/>
      <c r="B193" s="150"/>
      <c r="C193" s="150"/>
      <c r="D193" s="150"/>
      <c r="E193" s="150"/>
      <c r="F193" s="150"/>
      <c r="G193" s="150"/>
      <c r="H193" s="150"/>
    </row>
    <row r="194" spans="1:8">
      <c r="A194" s="150"/>
      <c r="B194" s="150"/>
      <c r="C194" s="150"/>
      <c r="D194" s="150"/>
      <c r="E194" s="150"/>
      <c r="F194" s="150"/>
      <c r="G194" s="150"/>
      <c r="H194" s="150"/>
    </row>
    <row r="195" spans="1:8">
      <c r="A195" s="150"/>
      <c r="B195" s="150"/>
      <c r="C195" s="150"/>
      <c r="D195" s="150"/>
      <c r="E195" s="150"/>
      <c r="F195" s="150"/>
      <c r="G195" s="150"/>
      <c r="H195" s="150"/>
    </row>
    <row r="196" spans="1:8">
      <c r="A196" s="150"/>
      <c r="B196" s="150"/>
      <c r="C196" s="150"/>
      <c r="D196" s="150"/>
      <c r="E196" s="150"/>
      <c r="F196" s="150"/>
      <c r="G196" s="150"/>
      <c r="H196" s="150"/>
    </row>
    <row r="197" spans="1:8">
      <c r="A197" s="150"/>
      <c r="B197" s="150"/>
      <c r="C197" s="150"/>
      <c r="D197" s="150"/>
      <c r="E197" s="150"/>
      <c r="F197" s="150"/>
      <c r="G197" s="150"/>
      <c r="H197" s="150"/>
    </row>
    <row r="198" spans="1:8">
      <c r="A198" s="150"/>
      <c r="B198" s="150"/>
      <c r="C198" s="150"/>
      <c r="D198" s="150"/>
      <c r="E198" s="150"/>
      <c r="F198" s="150"/>
      <c r="G198" s="150"/>
      <c r="H198" s="150"/>
    </row>
  </sheetData>
  <hyperlinks>
    <hyperlink ref="A1" location="turinys!A1" display="Grįžti į turinį"/>
  </hyperlinks>
  <pageMargins left="0.69" right="0.47" top="0.52" bottom="0.48" header="0.5" footer="0.5"/>
  <pageSetup paperSize="9" orientation="portrait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33"/>
  <sheetViews>
    <sheetView workbookViewId="0"/>
  </sheetViews>
  <sheetFormatPr defaultRowHeight="12.75"/>
  <cols>
    <col min="1" max="1" width="27" style="21" customWidth="1"/>
    <col min="2" max="2" width="8.7109375" style="21" customWidth="1"/>
    <col min="3" max="3" width="9.140625" style="21"/>
    <col min="4" max="4" width="10.7109375" style="21" customWidth="1"/>
    <col min="5" max="256" width="9.140625" style="21"/>
    <col min="257" max="257" width="27" style="21" customWidth="1"/>
    <col min="258" max="258" width="8.7109375" style="21" customWidth="1"/>
    <col min="259" max="259" width="9.140625" style="21"/>
    <col min="260" max="260" width="10.7109375" style="21" customWidth="1"/>
    <col min="261" max="512" width="9.140625" style="21"/>
    <col min="513" max="513" width="27" style="21" customWidth="1"/>
    <col min="514" max="514" width="8.7109375" style="21" customWidth="1"/>
    <col min="515" max="515" width="9.140625" style="21"/>
    <col min="516" max="516" width="10.7109375" style="21" customWidth="1"/>
    <col min="517" max="768" width="9.140625" style="21"/>
    <col min="769" max="769" width="27" style="21" customWidth="1"/>
    <col min="770" max="770" width="8.7109375" style="21" customWidth="1"/>
    <col min="771" max="771" width="9.140625" style="21"/>
    <col min="772" max="772" width="10.7109375" style="21" customWidth="1"/>
    <col min="773" max="1024" width="9.140625" style="21"/>
    <col min="1025" max="1025" width="27" style="21" customWidth="1"/>
    <col min="1026" max="1026" width="8.7109375" style="21" customWidth="1"/>
    <col min="1027" max="1027" width="9.140625" style="21"/>
    <col min="1028" max="1028" width="10.7109375" style="21" customWidth="1"/>
    <col min="1029" max="1280" width="9.140625" style="21"/>
    <col min="1281" max="1281" width="27" style="21" customWidth="1"/>
    <col min="1282" max="1282" width="8.7109375" style="21" customWidth="1"/>
    <col min="1283" max="1283" width="9.140625" style="21"/>
    <col min="1284" max="1284" width="10.7109375" style="21" customWidth="1"/>
    <col min="1285" max="1536" width="9.140625" style="21"/>
    <col min="1537" max="1537" width="27" style="21" customWidth="1"/>
    <col min="1538" max="1538" width="8.7109375" style="21" customWidth="1"/>
    <col min="1539" max="1539" width="9.140625" style="21"/>
    <col min="1540" max="1540" width="10.7109375" style="21" customWidth="1"/>
    <col min="1541" max="1792" width="9.140625" style="21"/>
    <col min="1793" max="1793" width="27" style="21" customWidth="1"/>
    <col min="1794" max="1794" width="8.7109375" style="21" customWidth="1"/>
    <col min="1795" max="1795" width="9.140625" style="21"/>
    <col min="1796" max="1796" width="10.7109375" style="21" customWidth="1"/>
    <col min="1797" max="2048" width="9.140625" style="21"/>
    <col min="2049" max="2049" width="27" style="21" customWidth="1"/>
    <col min="2050" max="2050" width="8.7109375" style="21" customWidth="1"/>
    <col min="2051" max="2051" width="9.140625" style="21"/>
    <col min="2052" max="2052" width="10.7109375" style="21" customWidth="1"/>
    <col min="2053" max="2304" width="9.140625" style="21"/>
    <col min="2305" max="2305" width="27" style="21" customWidth="1"/>
    <col min="2306" max="2306" width="8.7109375" style="21" customWidth="1"/>
    <col min="2307" max="2307" width="9.140625" style="21"/>
    <col min="2308" max="2308" width="10.7109375" style="21" customWidth="1"/>
    <col min="2309" max="2560" width="9.140625" style="21"/>
    <col min="2561" max="2561" width="27" style="21" customWidth="1"/>
    <col min="2562" max="2562" width="8.7109375" style="21" customWidth="1"/>
    <col min="2563" max="2563" width="9.140625" style="21"/>
    <col min="2564" max="2564" width="10.7109375" style="21" customWidth="1"/>
    <col min="2565" max="2816" width="9.140625" style="21"/>
    <col min="2817" max="2817" width="27" style="21" customWidth="1"/>
    <col min="2818" max="2818" width="8.7109375" style="21" customWidth="1"/>
    <col min="2819" max="2819" width="9.140625" style="21"/>
    <col min="2820" max="2820" width="10.7109375" style="21" customWidth="1"/>
    <col min="2821" max="3072" width="9.140625" style="21"/>
    <col min="3073" max="3073" width="27" style="21" customWidth="1"/>
    <col min="3074" max="3074" width="8.7109375" style="21" customWidth="1"/>
    <col min="3075" max="3075" width="9.140625" style="21"/>
    <col min="3076" max="3076" width="10.7109375" style="21" customWidth="1"/>
    <col min="3077" max="3328" width="9.140625" style="21"/>
    <col min="3329" max="3329" width="27" style="21" customWidth="1"/>
    <col min="3330" max="3330" width="8.7109375" style="21" customWidth="1"/>
    <col min="3331" max="3331" width="9.140625" style="21"/>
    <col min="3332" max="3332" width="10.7109375" style="21" customWidth="1"/>
    <col min="3333" max="3584" width="9.140625" style="21"/>
    <col min="3585" max="3585" width="27" style="21" customWidth="1"/>
    <col min="3586" max="3586" width="8.7109375" style="21" customWidth="1"/>
    <col min="3587" max="3587" width="9.140625" style="21"/>
    <col min="3588" max="3588" width="10.7109375" style="21" customWidth="1"/>
    <col min="3589" max="3840" width="9.140625" style="21"/>
    <col min="3841" max="3841" width="27" style="21" customWidth="1"/>
    <col min="3842" max="3842" width="8.7109375" style="21" customWidth="1"/>
    <col min="3843" max="3843" width="9.140625" style="21"/>
    <col min="3844" max="3844" width="10.7109375" style="21" customWidth="1"/>
    <col min="3845" max="4096" width="9.140625" style="21"/>
    <col min="4097" max="4097" width="27" style="21" customWidth="1"/>
    <col min="4098" max="4098" width="8.7109375" style="21" customWidth="1"/>
    <col min="4099" max="4099" width="9.140625" style="21"/>
    <col min="4100" max="4100" width="10.7109375" style="21" customWidth="1"/>
    <col min="4101" max="4352" width="9.140625" style="21"/>
    <col min="4353" max="4353" width="27" style="21" customWidth="1"/>
    <col min="4354" max="4354" width="8.7109375" style="21" customWidth="1"/>
    <col min="4355" max="4355" width="9.140625" style="21"/>
    <col min="4356" max="4356" width="10.7109375" style="21" customWidth="1"/>
    <col min="4357" max="4608" width="9.140625" style="21"/>
    <col min="4609" max="4609" width="27" style="21" customWidth="1"/>
    <col min="4610" max="4610" width="8.7109375" style="21" customWidth="1"/>
    <col min="4611" max="4611" width="9.140625" style="21"/>
    <col min="4612" max="4612" width="10.7109375" style="21" customWidth="1"/>
    <col min="4613" max="4864" width="9.140625" style="21"/>
    <col min="4865" max="4865" width="27" style="21" customWidth="1"/>
    <col min="4866" max="4866" width="8.7109375" style="21" customWidth="1"/>
    <col min="4867" max="4867" width="9.140625" style="21"/>
    <col min="4868" max="4868" width="10.7109375" style="21" customWidth="1"/>
    <col min="4869" max="5120" width="9.140625" style="21"/>
    <col min="5121" max="5121" width="27" style="21" customWidth="1"/>
    <col min="5122" max="5122" width="8.7109375" style="21" customWidth="1"/>
    <col min="5123" max="5123" width="9.140625" style="21"/>
    <col min="5124" max="5124" width="10.7109375" style="21" customWidth="1"/>
    <col min="5125" max="5376" width="9.140625" style="21"/>
    <col min="5377" max="5377" width="27" style="21" customWidth="1"/>
    <col min="5378" max="5378" width="8.7109375" style="21" customWidth="1"/>
    <col min="5379" max="5379" width="9.140625" style="21"/>
    <col min="5380" max="5380" width="10.7109375" style="21" customWidth="1"/>
    <col min="5381" max="5632" width="9.140625" style="21"/>
    <col min="5633" max="5633" width="27" style="21" customWidth="1"/>
    <col min="5634" max="5634" width="8.7109375" style="21" customWidth="1"/>
    <col min="5635" max="5635" width="9.140625" style="21"/>
    <col min="5636" max="5636" width="10.7109375" style="21" customWidth="1"/>
    <col min="5637" max="5888" width="9.140625" style="21"/>
    <col min="5889" max="5889" width="27" style="21" customWidth="1"/>
    <col min="5890" max="5890" width="8.7109375" style="21" customWidth="1"/>
    <col min="5891" max="5891" width="9.140625" style="21"/>
    <col min="5892" max="5892" width="10.7109375" style="21" customWidth="1"/>
    <col min="5893" max="6144" width="9.140625" style="21"/>
    <col min="6145" max="6145" width="27" style="21" customWidth="1"/>
    <col min="6146" max="6146" width="8.7109375" style="21" customWidth="1"/>
    <col min="6147" max="6147" width="9.140625" style="21"/>
    <col min="6148" max="6148" width="10.7109375" style="21" customWidth="1"/>
    <col min="6149" max="6400" width="9.140625" style="21"/>
    <col min="6401" max="6401" width="27" style="21" customWidth="1"/>
    <col min="6402" max="6402" width="8.7109375" style="21" customWidth="1"/>
    <col min="6403" max="6403" width="9.140625" style="21"/>
    <col min="6404" max="6404" width="10.7109375" style="21" customWidth="1"/>
    <col min="6405" max="6656" width="9.140625" style="21"/>
    <col min="6657" max="6657" width="27" style="21" customWidth="1"/>
    <col min="6658" max="6658" width="8.7109375" style="21" customWidth="1"/>
    <col min="6659" max="6659" width="9.140625" style="21"/>
    <col min="6660" max="6660" width="10.7109375" style="21" customWidth="1"/>
    <col min="6661" max="6912" width="9.140625" style="21"/>
    <col min="6913" max="6913" width="27" style="21" customWidth="1"/>
    <col min="6914" max="6914" width="8.7109375" style="21" customWidth="1"/>
    <col min="6915" max="6915" width="9.140625" style="21"/>
    <col min="6916" max="6916" width="10.7109375" style="21" customWidth="1"/>
    <col min="6917" max="7168" width="9.140625" style="21"/>
    <col min="7169" max="7169" width="27" style="21" customWidth="1"/>
    <col min="7170" max="7170" width="8.7109375" style="21" customWidth="1"/>
    <col min="7171" max="7171" width="9.140625" style="21"/>
    <col min="7172" max="7172" width="10.7109375" style="21" customWidth="1"/>
    <col min="7173" max="7424" width="9.140625" style="21"/>
    <col min="7425" max="7425" width="27" style="21" customWidth="1"/>
    <col min="7426" max="7426" width="8.7109375" style="21" customWidth="1"/>
    <col min="7427" max="7427" width="9.140625" style="21"/>
    <col min="7428" max="7428" width="10.7109375" style="21" customWidth="1"/>
    <col min="7429" max="7680" width="9.140625" style="21"/>
    <col min="7681" max="7681" width="27" style="21" customWidth="1"/>
    <col min="7682" max="7682" width="8.7109375" style="21" customWidth="1"/>
    <col min="7683" max="7683" width="9.140625" style="21"/>
    <col min="7684" max="7684" width="10.7109375" style="21" customWidth="1"/>
    <col min="7685" max="7936" width="9.140625" style="21"/>
    <col min="7937" max="7937" width="27" style="21" customWidth="1"/>
    <col min="7938" max="7938" width="8.7109375" style="21" customWidth="1"/>
    <col min="7939" max="7939" width="9.140625" style="21"/>
    <col min="7940" max="7940" width="10.7109375" style="21" customWidth="1"/>
    <col min="7941" max="8192" width="9.140625" style="21"/>
    <col min="8193" max="8193" width="27" style="21" customWidth="1"/>
    <col min="8194" max="8194" width="8.7109375" style="21" customWidth="1"/>
    <col min="8195" max="8195" width="9.140625" style="21"/>
    <col min="8196" max="8196" width="10.7109375" style="21" customWidth="1"/>
    <col min="8197" max="8448" width="9.140625" style="21"/>
    <col min="8449" max="8449" width="27" style="21" customWidth="1"/>
    <col min="8450" max="8450" width="8.7109375" style="21" customWidth="1"/>
    <col min="8451" max="8451" width="9.140625" style="21"/>
    <col min="8452" max="8452" width="10.7109375" style="21" customWidth="1"/>
    <col min="8453" max="8704" width="9.140625" style="21"/>
    <col min="8705" max="8705" width="27" style="21" customWidth="1"/>
    <col min="8706" max="8706" width="8.7109375" style="21" customWidth="1"/>
    <col min="8707" max="8707" width="9.140625" style="21"/>
    <col min="8708" max="8708" width="10.7109375" style="21" customWidth="1"/>
    <col min="8709" max="8960" width="9.140625" style="21"/>
    <col min="8961" max="8961" width="27" style="21" customWidth="1"/>
    <col min="8962" max="8962" width="8.7109375" style="21" customWidth="1"/>
    <col min="8963" max="8963" width="9.140625" style="21"/>
    <col min="8964" max="8964" width="10.7109375" style="21" customWidth="1"/>
    <col min="8965" max="9216" width="9.140625" style="21"/>
    <col min="9217" max="9217" width="27" style="21" customWidth="1"/>
    <col min="9218" max="9218" width="8.7109375" style="21" customWidth="1"/>
    <col min="9219" max="9219" width="9.140625" style="21"/>
    <col min="9220" max="9220" width="10.7109375" style="21" customWidth="1"/>
    <col min="9221" max="9472" width="9.140625" style="21"/>
    <col min="9473" max="9473" width="27" style="21" customWidth="1"/>
    <col min="9474" max="9474" width="8.7109375" style="21" customWidth="1"/>
    <col min="9475" max="9475" width="9.140625" style="21"/>
    <col min="9476" max="9476" width="10.7109375" style="21" customWidth="1"/>
    <col min="9477" max="9728" width="9.140625" style="21"/>
    <col min="9729" max="9729" width="27" style="21" customWidth="1"/>
    <col min="9730" max="9730" width="8.7109375" style="21" customWidth="1"/>
    <col min="9731" max="9731" width="9.140625" style="21"/>
    <col min="9732" max="9732" width="10.7109375" style="21" customWidth="1"/>
    <col min="9733" max="9984" width="9.140625" style="21"/>
    <col min="9985" max="9985" width="27" style="21" customWidth="1"/>
    <col min="9986" max="9986" width="8.7109375" style="21" customWidth="1"/>
    <col min="9987" max="9987" width="9.140625" style="21"/>
    <col min="9988" max="9988" width="10.7109375" style="21" customWidth="1"/>
    <col min="9989" max="10240" width="9.140625" style="21"/>
    <col min="10241" max="10241" width="27" style="21" customWidth="1"/>
    <col min="10242" max="10242" width="8.7109375" style="21" customWidth="1"/>
    <col min="10243" max="10243" width="9.140625" style="21"/>
    <col min="10244" max="10244" width="10.7109375" style="21" customWidth="1"/>
    <col min="10245" max="10496" width="9.140625" style="21"/>
    <col min="10497" max="10497" width="27" style="21" customWidth="1"/>
    <col min="10498" max="10498" width="8.7109375" style="21" customWidth="1"/>
    <col min="10499" max="10499" width="9.140625" style="21"/>
    <col min="10500" max="10500" width="10.7109375" style="21" customWidth="1"/>
    <col min="10501" max="10752" width="9.140625" style="21"/>
    <col min="10753" max="10753" width="27" style="21" customWidth="1"/>
    <col min="10754" max="10754" width="8.7109375" style="21" customWidth="1"/>
    <col min="10755" max="10755" width="9.140625" style="21"/>
    <col min="10756" max="10756" width="10.7109375" style="21" customWidth="1"/>
    <col min="10757" max="11008" width="9.140625" style="21"/>
    <col min="11009" max="11009" width="27" style="21" customWidth="1"/>
    <col min="11010" max="11010" width="8.7109375" style="21" customWidth="1"/>
    <col min="11011" max="11011" width="9.140625" style="21"/>
    <col min="11012" max="11012" width="10.7109375" style="21" customWidth="1"/>
    <col min="11013" max="11264" width="9.140625" style="21"/>
    <col min="11265" max="11265" width="27" style="21" customWidth="1"/>
    <col min="11266" max="11266" width="8.7109375" style="21" customWidth="1"/>
    <col min="11267" max="11267" width="9.140625" style="21"/>
    <col min="11268" max="11268" width="10.7109375" style="21" customWidth="1"/>
    <col min="11269" max="11520" width="9.140625" style="21"/>
    <col min="11521" max="11521" width="27" style="21" customWidth="1"/>
    <col min="11522" max="11522" width="8.7109375" style="21" customWidth="1"/>
    <col min="11523" max="11523" width="9.140625" style="21"/>
    <col min="11524" max="11524" width="10.7109375" style="21" customWidth="1"/>
    <col min="11525" max="11776" width="9.140625" style="21"/>
    <col min="11777" max="11777" width="27" style="21" customWidth="1"/>
    <col min="11778" max="11778" width="8.7109375" style="21" customWidth="1"/>
    <col min="11779" max="11779" width="9.140625" style="21"/>
    <col min="11780" max="11780" width="10.7109375" style="21" customWidth="1"/>
    <col min="11781" max="12032" width="9.140625" style="21"/>
    <col min="12033" max="12033" width="27" style="21" customWidth="1"/>
    <col min="12034" max="12034" width="8.7109375" style="21" customWidth="1"/>
    <col min="12035" max="12035" width="9.140625" style="21"/>
    <col min="12036" max="12036" width="10.7109375" style="21" customWidth="1"/>
    <col min="12037" max="12288" width="9.140625" style="21"/>
    <col min="12289" max="12289" width="27" style="21" customWidth="1"/>
    <col min="12290" max="12290" width="8.7109375" style="21" customWidth="1"/>
    <col min="12291" max="12291" width="9.140625" style="21"/>
    <col min="12292" max="12292" width="10.7109375" style="21" customWidth="1"/>
    <col min="12293" max="12544" width="9.140625" style="21"/>
    <col min="12545" max="12545" width="27" style="21" customWidth="1"/>
    <col min="12546" max="12546" width="8.7109375" style="21" customWidth="1"/>
    <col min="12547" max="12547" width="9.140625" style="21"/>
    <col min="12548" max="12548" width="10.7109375" style="21" customWidth="1"/>
    <col min="12549" max="12800" width="9.140625" style="21"/>
    <col min="12801" max="12801" width="27" style="21" customWidth="1"/>
    <col min="12802" max="12802" width="8.7109375" style="21" customWidth="1"/>
    <col min="12803" max="12803" width="9.140625" style="21"/>
    <col min="12804" max="12804" width="10.7109375" style="21" customWidth="1"/>
    <col min="12805" max="13056" width="9.140625" style="21"/>
    <col min="13057" max="13057" width="27" style="21" customWidth="1"/>
    <col min="13058" max="13058" width="8.7109375" style="21" customWidth="1"/>
    <col min="13059" max="13059" width="9.140625" style="21"/>
    <col min="13060" max="13060" width="10.7109375" style="21" customWidth="1"/>
    <col min="13061" max="13312" width="9.140625" style="21"/>
    <col min="13313" max="13313" width="27" style="21" customWidth="1"/>
    <col min="13314" max="13314" width="8.7109375" style="21" customWidth="1"/>
    <col min="13315" max="13315" width="9.140625" style="21"/>
    <col min="13316" max="13316" width="10.7109375" style="21" customWidth="1"/>
    <col min="13317" max="13568" width="9.140625" style="21"/>
    <col min="13569" max="13569" width="27" style="21" customWidth="1"/>
    <col min="13570" max="13570" width="8.7109375" style="21" customWidth="1"/>
    <col min="13571" max="13571" width="9.140625" style="21"/>
    <col min="13572" max="13572" width="10.7109375" style="21" customWidth="1"/>
    <col min="13573" max="13824" width="9.140625" style="21"/>
    <col min="13825" max="13825" width="27" style="21" customWidth="1"/>
    <col min="13826" max="13826" width="8.7109375" style="21" customWidth="1"/>
    <col min="13827" max="13827" width="9.140625" style="21"/>
    <col min="13828" max="13828" width="10.7109375" style="21" customWidth="1"/>
    <col min="13829" max="14080" width="9.140625" style="21"/>
    <col min="14081" max="14081" width="27" style="21" customWidth="1"/>
    <col min="14082" max="14082" width="8.7109375" style="21" customWidth="1"/>
    <col min="14083" max="14083" width="9.140625" style="21"/>
    <col min="14084" max="14084" width="10.7109375" style="21" customWidth="1"/>
    <col min="14085" max="14336" width="9.140625" style="21"/>
    <col min="14337" max="14337" width="27" style="21" customWidth="1"/>
    <col min="14338" max="14338" width="8.7109375" style="21" customWidth="1"/>
    <col min="14339" max="14339" width="9.140625" style="21"/>
    <col min="14340" max="14340" width="10.7109375" style="21" customWidth="1"/>
    <col min="14341" max="14592" width="9.140625" style="21"/>
    <col min="14593" max="14593" width="27" style="21" customWidth="1"/>
    <col min="14594" max="14594" width="8.7109375" style="21" customWidth="1"/>
    <col min="14595" max="14595" width="9.140625" style="21"/>
    <col min="14596" max="14596" width="10.7109375" style="21" customWidth="1"/>
    <col min="14597" max="14848" width="9.140625" style="21"/>
    <col min="14849" max="14849" width="27" style="21" customWidth="1"/>
    <col min="14850" max="14850" width="8.7109375" style="21" customWidth="1"/>
    <col min="14851" max="14851" width="9.140625" style="21"/>
    <col min="14852" max="14852" width="10.7109375" style="21" customWidth="1"/>
    <col min="14853" max="15104" width="9.140625" style="21"/>
    <col min="15105" max="15105" width="27" style="21" customWidth="1"/>
    <col min="15106" max="15106" width="8.7109375" style="21" customWidth="1"/>
    <col min="15107" max="15107" width="9.140625" style="21"/>
    <col min="15108" max="15108" width="10.7109375" style="21" customWidth="1"/>
    <col min="15109" max="15360" width="9.140625" style="21"/>
    <col min="15361" max="15361" width="27" style="21" customWidth="1"/>
    <col min="15362" max="15362" width="8.7109375" style="21" customWidth="1"/>
    <col min="15363" max="15363" width="9.140625" style="21"/>
    <col min="15364" max="15364" width="10.7109375" style="21" customWidth="1"/>
    <col min="15365" max="15616" width="9.140625" style="21"/>
    <col min="15617" max="15617" width="27" style="21" customWidth="1"/>
    <col min="15618" max="15618" width="8.7109375" style="21" customWidth="1"/>
    <col min="15619" max="15619" width="9.140625" style="21"/>
    <col min="15620" max="15620" width="10.7109375" style="21" customWidth="1"/>
    <col min="15621" max="15872" width="9.140625" style="21"/>
    <col min="15873" max="15873" width="27" style="21" customWidth="1"/>
    <col min="15874" max="15874" width="8.7109375" style="21" customWidth="1"/>
    <col min="15875" max="15875" width="9.140625" style="21"/>
    <col min="15876" max="15876" width="10.7109375" style="21" customWidth="1"/>
    <col min="15877" max="16128" width="9.140625" style="21"/>
    <col min="16129" max="16129" width="27" style="21" customWidth="1"/>
    <col min="16130" max="16130" width="8.7109375" style="21" customWidth="1"/>
    <col min="16131" max="16131" width="9.140625" style="21"/>
    <col min="16132" max="16132" width="10.7109375" style="21" customWidth="1"/>
    <col min="16133" max="16384" width="9.140625" style="21"/>
  </cols>
  <sheetData>
    <row r="1" spans="1:9" s="27" customFormat="1" ht="22.5" customHeight="1">
      <c r="A1" s="23" t="s">
        <v>225</v>
      </c>
    </row>
    <row r="2" spans="1:9" ht="12" customHeight="1"/>
    <row r="3" spans="1:9">
      <c r="A3" s="150"/>
      <c r="B3" s="150"/>
      <c r="C3" s="150"/>
      <c r="D3" s="150"/>
      <c r="E3" s="150"/>
      <c r="F3" s="150"/>
      <c r="G3" s="150"/>
      <c r="H3" s="150"/>
      <c r="I3" s="150"/>
    </row>
    <row r="4" spans="1:9" hidden="1">
      <c r="A4" s="150" t="s">
        <v>234</v>
      </c>
      <c r="B4" s="150" t="s">
        <v>366</v>
      </c>
      <c r="C4" s="150" t="s">
        <v>367</v>
      </c>
      <c r="D4" s="150" t="s">
        <v>368</v>
      </c>
      <c r="E4" s="150" t="s">
        <v>369</v>
      </c>
      <c r="F4" s="150" t="s">
        <v>370</v>
      </c>
      <c r="G4" s="150"/>
      <c r="H4" s="150"/>
      <c r="I4" s="150"/>
    </row>
    <row r="5" spans="1:9" hidden="1">
      <c r="A5" s="150" t="s">
        <v>371</v>
      </c>
      <c r="B5" s="150">
        <v>6007</v>
      </c>
      <c r="C5" s="150">
        <v>276</v>
      </c>
      <c r="D5" s="150">
        <v>145</v>
      </c>
      <c r="E5" s="150">
        <v>1042</v>
      </c>
      <c r="F5" s="150">
        <f>B5+C5+D5+E5</f>
        <v>7470</v>
      </c>
      <c r="G5" s="150"/>
      <c r="H5" s="150"/>
      <c r="I5" s="150"/>
    </row>
    <row r="6" spans="1:9" hidden="1">
      <c r="A6" s="150" t="s">
        <v>372</v>
      </c>
      <c r="B6" s="150">
        <v>5589</v>
      </c>
      <c r="C6" s="150">
        <v>183</v>
      </c>
      <c r="D6" s="150">
        <v>59</v>
      </c>
      <c r="E6" s="150">
        <v>687</v>
      </c>
      <c r="F6" s="150">
        <f>B6+C6+D6+E6</f>
        <v>6518</v>
      </c>
      <c r="G6" s="150"/>
      <c r="H6" s="150"/>
      <c r="I6" s="150"/>
    </row>
    <row r="7" spans="1:9" hidden="1">
      <c r="A7" s="150" t="s">
        <v>235</v>
      </c>
      <c r="B7" s="150"/>
      <c r="C7" s="150"/>
      <c r="D7" s="150"/>
      <c r="E7" s="150"/>
      <c r="F7" s="150"/>
      <c r="G7" s="150"/>
      <c r="H7" s="150"/>
      <c r="I7" s="150"/>
    </row>
    <row r="8" spans="1:9" hidden="1">
      <c r="A8" s="150" t="s">
        <v>371</v>
      </c>
      <c r="B8" s="150">
        <v>5763</v>
      </c>
      <c r="C8" s="150">
        <v>255</v>
      </c>
      <c r="D8" s="150">
        <v>121</v>
      </c>
      <c r="E8" s="150">
        <v>891</v>
      </c>
      <c r="F8" s="150">
        <f>B8+C8+D8+E8</f>
        <v>7030</v>
      </c>
      <c r="G8" s="150"/>
      <c r="H8" s="150"/>
      <c r="I8" s="150"/>
    </row>
    <row r="9" spans="1:9" hidden="1">
      <c r="A9" s="150" t="s">
        <v>372</v>
      </c>
      <c r="B9" s="150">
        <v>5163</v>
      </c>
      <c r="C9" s="150">
        <v>150</v>
      </c>
      <c r="D9" s="150">
        <v>47</v>
      </c>
      <c r="E9" s="150">
        <v>677</v>
      </c>
      <c r="F9" s="150">
        <f>B9+C9+D9+E9</f>
        <v>6037</v>
      </c>
      <c r="G9" s="150"/>
      <c r="H9" s="150"/>
      <c r="I9" s="150"/>
    </row>
    <row r="10" spans="1:9" hidden="1">
      <c r="A10" s="150" t="s">
        <v>236</v>
      </c>
      <c r="B10" s="150"/>
      <c r="C10" s="150"/>
      <c r="D10" s="150"/>
      <c r="E10" s="150"/>
      <c r="F10" s="150"/>
      <c r="G10" s="150"/>
      <c r="H10" s="150"/>
      <c r="I10" s="150"/>
    </row>
    <row r="11" spans="1:9" hidden="1">
      <c r="A11" s="150" t="s">
        <v>371</v>
      </c>
      <c r="B11" s="150">
        <v>5537</v>
      </c>
      <c r="C11" s="150">
        <v>216</v>
      </c>
      <c r="D11" s="150">
        <v>109</v>
      </c>
      <c r="E11" s="150">
        <v>671</v>
      </c>
      <c r="F11" s="150">
        <f>B11+C11+D11+E11</f>
        <v>6533</v>
      </c>
      <c r="G11" s="150"/>
      <c r="H11" s="150"/>
      <c r="I11" s="150"/>
    </row>
    <row r="12" spans="1:9" hidden="1">
      <c r="A12" s="150" t="s">
        <v>372</v>
      </c>
      <c r="B12" s="150">
        <v>4957</v>
      </c>
      <c r="C12" s="150">
        <v>140</v>
      </c>
      <c r="D12" s="150">
        <v>58</v>
      </c>
      <c r="E12" s="150">
        <v>567</v>
      </c>
      <c r="F12" s="150">
        <f>B12+C12+D12+E12</f>
        <v>5722</v>
      </c>
      <c r="G12" s="150"/>
      <c r="H12" s="150"/>
      <c r="I12" s="150"/>
    </row>
    <row r="13" spans="1:9" hidden="1">
      <c r="A13" s="150" t="s">
        <v>199</v>
      </c>
      <c r="B13" s="150"/>
      <c r="C13" s="150"/>
      <c r="D13" s="150"/>
      <c r="E13" s="150"/>
      <c r="F13" s="150"/>
      <c r="G13" s="150"/>
      <c r="H13" s="150"/>
      <c r="I13" s="150"/>
    </row>
    <row r="14" spans="1:9" hidden="1">
      <c r="A14" s="150" t="s">
        <v>371</v>
      </c>
      <c r="B14" s="150">
        <v>4062</v>
      </c>
      <c r="C14" s="150">
        <v>156</v>
      </c>
      <c r="D14" s="150">
        <v>71</v>
      </c>
      <c r="E14" s="150">
        <v>626</v>
      </c>
      <c r="F14" s="150">
        <f>B14+C14+D14+E14</f>
        <v>4915</v>
      </c>
      <c r="G14" s="150"/>
      <c r="H14" s="150"/>
      <c r="I14" s="150"/>
    </row>
    <row r="15" spans="1:9" hidden="1">
      <c r="A15" s="150" t="s">
        <v>372</v>
      </c>
      <c r="B15" s="150">
        <v>3737</v>
      </c>
      <c r="C15" s="150">
        <v>99</v>
      </c>
      <c r="D15" s="150">
        <v>35</v>
      </c>
      <c r="E15" s="150">
        <v>544</v>
      </c>
      <c r="F15" s="150">
        <f>B15+C15+D15+E15</f>
        <v>4415</v>
      </c>
      <c r="G15" s="150"/>
      <c r="H15" s="150"/>
      <c r="I15" s="150"/>
    </row>
    <row r="16" spans="1:9" hidden="1">
      <c r="A16" s="150" t="s">
        <v>200</v>
      </c>
      <c r="B16" s="150"/>
      <c r="C16" s="150"/>
      <c r="D16" s="150"/>
      <c r="E16" s="150"/>
      <c r="F16" s="150"/>
      <c r="G16" s="150"/>
      <c r="H16" s="150"/>
      <c r="I16" s="150"/>
    </row>
    <row r="17" spans="1:9" hidden="1">
      <c r="A17" s="150" t="s">
        <v>371</v>
      </c>
      <c r="B17" s="150">
        <v>4236</v>
      </c>
      <c r="C17" s="150">
        <v>154</v>
      </c>
      <c r="D17" s="150">
        <v>65</v>
      </c>
      <c r="E17" s="150">
        <v>292</v>
      </c>
      <c r="F17" s="150">
        <f>SUM(B17:E17)</f>
        <v>4747</v>
      </c>
      <c r="G17" s="150"/>
      <c r="H17" s="150"/>
      <c r="I17" s="150"/>
    </row>
    <row r="18" spans="1:9" hidden="1">
      <c r="A18" s="150" t="s">
        <v>372</v>
      </c>
      <c r="B18" s="150">
        <v>3896</v>
      </c>
      <c r="C18" s="150">
        <v>108</v>
      </c>
      <c r="D18" s="150">
        <v>35</v>
      </c>
      <c r="E18" s="150">
        <v>245</v>
      </c>
      <c r="F18" s="150">
        <f>SUM(B18:E18)</f>
        <v>4284</v>
      </c>
      <c r="G18" s="150"/>
      <c r="H18" s="150"/>
      <c r="I18" s="150"/>
    </row>
    <row r="19" spans="1:9" hidden="1">
      <c r="A19" s="150" t="s">
        <v>201</v>
      </c>
      <c r="B19" s="150"/>
      <c r="C19" s="150"/>
      <c r="D19" s="150"/>
      <c r="E19" s="150"/>
      <c r="F19" s="150"/>
      <c r="G19" s="150"/>
      <c r="H19" s="150"/>
      <c r="I19" s="150"/>
    </row>
    <row r="20" spans="1:9" hidden="1">
      <c r="A20" s="150" t="s">
        <v>371</v>
      </c>
      <c r="B20" s="150">
        <v>5067</v>
      </c>
      <c r="C20" s="150">
        <v>166</v>
      </c>
      <c r="D20" s="150">
        <v>60</v>
      </c>
      <c r="E20" s="150">
        <v>258</v>
      </c>
      <c r="F20" s="150">
        <f>SUM(B20:E20)</f>
        <v>5551</v>
      </c>
      <c r="G20" s="150"/>
      <c r="H20" s="150"/>
      <c r="I20" s="150"/>
    </row>
    <row r="21" spans="1:9" hidden="1">
      <c r="A21" s="150" t="s">
        <v>372</v>
      </c>
      <c r="B21" s="150">
        <v>4706</v>
      </c>
      <c r="C21" s="150">
        <v>126</v>
      </c>
      <c r="D21" s="150">
        <v>28</v>
      </c>
      <c r="E21" s="150">
        <v>208</v>
      </c>
      <c r="F21" s="150">
        <f>SUM(B21:E21)</f>
        <v>5068</v>
      </c>
      <c r="G21" s="150"/>
      <c r="H21" s="150"/>
      <c r="I21" s="150"/>
    </row>
    <row r="22" spans="1:9" hidden="1">
      <c r="A22" s="150" t="s">
        <v>237</v>
      </c>
      <c r="B22" s="150"/>
      <c r="C22" s="150"/>
      <c r="D22" s="150"/>
      <c r="E22" s="150"/>
      <c r="F22" s="150"/>
      <c r="G22" s="150"/>
      <c r="H22" s="150"/>
      <c r="I22" s="150"/>
    </row>
    <row r="23" spans="1:9" hidden="1">
      <c r="A23" s="150" t="s">
        <v>371</v>
      </c>
      <c r="B23" s="150">
        <v>4873</v>
      </c>
      <c r="C23" s="150">
        <v>156</v>
      </c>
      <c r="D23" s="150">
        <v>78</v>
      </c>
      <c r="E23" s="150">
        <v>292</v>
      </c>
      <c r="F23" s="150">
        <f>SUM(B23:E23)</f>
        <v>5399</v>
      </c>
      <c r="G23" s="150"/>
      <c r="H23" s="150"/>
      <c r="I23" s="150"/>
    </row>
    <row r="24" spans="1:9" hidden="1">
      <c r="A24" s="150" t="s">
        <v>372</v>
      </c>
      <c r="B24" s="150">
        <v>4428</v>
      </c>
      <c r="C24" s="150">
        <v>111</v>
      </c>
      <c r="D24" s="150">
        <v>44</v>
      </c>
      <c r="E24" s="150">
        <v>252</v>
      </c>
      <c r="F24" s="150">
        <f>SUM(B24:E24)</f>
        <v>4835</v>
      </c>
      <c r="G24" s="150"/>
      <c r="H24" s="150"/>
      <c r="I24" s="150"/>
    </row>
    <row r="25" spans="1:9">
      <c r="A25" s="150" t="s">
        <v>238</v>
      </c>
      <c r="B25" s="150"/>
      <c r="C25" s="150"/>
      <c r="D25" s="150"/>
      <c r="E25" s="150"/>
      <c r="F25" s="150"/>
      <c r="G25" s="150"/>
      <c r="H25" s="150"/>
      <c r="I25" s="150"/>
    </row>
    <row r="26" spans="1:9">
      <c r="A26" s="150" t="s">
        <v>371</v>
      </c>
      <c r="B26" s="150">
        <v>5722</v>
      </c>
      <c r="C26" s="150">
        <v>204</v>
      </c>
      <c r="D26" s="150">
        <v>61</v>
      </c>
      <c r="E26" s="150">
        <v>255</v>
      </c>
      <c r="F26" s="150">
        <f>SUM(B26:E26)</f>
        <v>6242</v>
      </c>
      <c r="G26" s="150"/>
      <c r="H26" s="150"/>
      <c r="I26" s="150"/>
    </row>
    <row r="27" spans="1:9">
      <c r="A27" s="150" t="s">
        <v>372</v>
      </c>
      <c r="B27" s="150">
        <v>5312</v>
      </c>
      <c r="C27" s="150">
        <v>137</v>
      </c>
      <c r="D27" s="150">
        <v>32</v>
      </c>
      <c r="E27" s="150">
        <v>219</v>
      </c>
      <c r="F27" s="150">
        <f>SUM(B27:E27)</f>
        <v>5700</v>
      </c>
      <c r="G27" s="150"/>
      <c r="H27" s="150"/>
      <c r="I27" s="150"/>
    </row>
    <row r="28" spans="1:9">
      <c r="A28" s="150" t="s">
        <v>239</v>
      </c>
      <c r="B28" s="150"/>
      <c r="C28" s="150"/>
      <c r="D28" s="150"/>
      <c r="E28" s="150"/>
      <c r="F28" s="150"/>
      <c r="G28" s="150"/>
      <c r="H28" s="150"/>
      <c r="I28" s="150"/>
    </row>
    <row r="29" spans="1:9">
      <c r="A29" s="150" t="str">
        <f>A26</f>
        <v>Tirta atvejų</v>
      </c>
      <c r="B29" s="150">
        <v>5194</v>
      </c>
      <c r="C29" s="150">
        <v>160</v>
      </c>
      <c r="D29" s="150">
        <v>77</v>
      </c>
      <c r="E29" s="150">
        <v>271</v>
      </c>
      <c r="F29" s="150">
        <f>SUM(B29:E29)</f>
        <v>5702</v>
      </c>
      <c r="G29" s="150"/>
      <c r="H29" s="150"/>
      <c r="I29" s="150"/>
    </row>
    <row r="30" spans="1:9">
      <c r="A30" s="150" t="str">
        <f>A27</f>
        <v>Pripažinta draudiminiais įvykiais</v>
      </c>
      <c r="B30" s="150">
        <v>4763</v>
      </c>
      <c r="C30" s="150">
        <v>110</v>
      </c>
      <c r="D30" s="150">
        <v>46</v>
      </c>
      <c r="E30" s="150">
        <v>235</v>
      </c>
      <c r="F30" s="150">
        <f>SUM(B30:E30)</f>
        <v>5154</v>
      </c>
      <c r="G30" s="150"/>
      <c r="H30" s="150"/>
      <c r="I30" s="150"/>
    </row>
    <row r="31" spans="1:9">
      <c r="A31" s="150" t="s">
        <v>414</v>
      </c>
      <c r="B31" s="150"/>
      <c r="C31" s="150"/>
      <c r="D31" s="150"/>
      <c r="E31" s="150"/>
      <c r="F31" s="150"/>
      <c r="G31" s="150"/>
      <c r="H31" s="150"/>
      <c r="I31" s="150"/>
    </row>
    <row r="32" spans="1:9">
      <c r="A32" s="150" t="s">
        <v>371</v>
      </c>
      <c r="B32" s="150">
        <v>5787</v>
      </c>
      <c r="C32" s="150">
        <v>185</v>
      </c>
      <c r="D32" s="150">
        <v>57</v>
      </c>
      <c r="E32" s="150">
        <v>249</v>
      </c>
      <c r="F32" s="150">
        <f>SUM(B32:E32)</f>
        <v>6278</v>
      </c>
      <c r="G32" s="150"/>
      <c r="H32" s="150"/>
      <c r="I32" s="150"/>
    </row>
    <row r="33" spans="1:9">
      <c r="A33" s="150" t="s">
        <v>372</v>
      </c>
      <c r="B33" s="150">
        <v>5315</v>
      </c>
      <c r="C33" s="150">
        <v>143</v>
      </c>
      <c r="D33" s="150">
        <v>35</v>
      </c>
      <c r="E33" s="150">
        <v>202</v>
      </c>
      <c r="F33" s="150">
        <f>SUM(B33:E33)</f>
        <v>5695</v>
      </c>
      <c r="G33" s="150"/>
      <c r="H33" s="150"/>
      <c r="I33" s="150"/>
    </row>
  </sheetData>
  <hyperlinks>
    <hyperlink ref="A1" location="turinys!A1" display="Grįžti į turinį"/>
  </hyperlinks>
  <pageMargins left="0.69" right="0.47" top="0.52" bottom="0.48" header="0.5" footer="0.5"/>
  <pageSetup paperSize="9" orientation="portrait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58"/>
  <sheetViews>
    <sheetView workbookViewId="0"/>
  </sheetViews>
  <sheetFormatPr defaultRowHeight="12.75"/>
  <cols>
    <col min="1" max="1" width="9.140625" style="21"/>
    <col min="2" max="2" width="6.28515625" style="21" customWidth="1"/>
    <col min="3" max="3" width="9.140625" style="21"/>
    <col min="4" max="4" width="4.7109375" style="21" customWidth="1"/>
    <col min="5" max="5" width="11" style="21" customWidth="1"/>
    <col min="6" max="6" width="9.140625" style="463"/>
    <col min="7" max="7" width="6.42578125" style="463" customWidth="1"/>
    <col min="8" max="8" width="7.5703125" style="21" hidden="1" customWidth="1"/>
    <col min="9" max="9" width="0.140625" style="21" hidden="1" customWidth="1"/>
    <col min="10" max="10" width="7.42578125" style="21" hidden="1" customWidth="1"/>
    <col min="11" max="11" width="7.85546875" style="21" hidden="1" customWidth="1"/>
    <col min="12" max="12" width="8" style="21" hidden="1" customWidth="1"/>
    <col min="13" max="14" width="0.140625" style="21" hidden="1" customWidth="1"/>
    <col min="15" max="15" width="8" style="21" hidden="1" customWidth="1"/>
    <col min="16" max="16" width="0.140625" style="21" hidden="1" customWidth="1"/>
    <col min="17" max="17" width="8.85546875" style="21" hidden="1" customWidth="1"/>
    <col min="18" max="18" width="7.7109375" style="21" customWidth="1"/>
    <col min="19" max="19" width="7.85546875" style="21" customWidth="1"/>
    <col min="20" max="20" width="9.140625" style="21"/>
    <col min="21" max="21" width="7.85546875" style="21" bestFit="1" customWidth="1"/>
    <col min="22" max="22" width="8.5703125" style="21" customWidth="1"/>
    <col min="23" max="257" width="9.140625" style="21"/>
    <col min="258" max="258" width="6.28515625" style="21" customWidth="1"/>
    <col min="259" max="259" width="9.140625" style="21"/>
    <col min="260" max="260" width="4.7109375" style="21" customWidth="1"/>
    <col min="261" max="261" width="11" style="21" customWidth="1"/>
    <col min="262" max="262" width="9.140625" style="21"/>
    <col min="263" max="263" width="6.42578125" style="21" customWidth="1"/>
    <col min="264" max="272" width="0" style="21" hidden="1" customWidth="1"/>
    <col min="273" max="273" width="8.85546875" style="21" customWidth="1"/>
    <col min="274" max="274" width="7.7109375" style="21" customWidth="1"/>
    <col min="275" max="275" width="7.85546875" style="21" customWidth="1"/>
    <col min="276" max="276" width="9.140625" style="21"/>
    <col min="277" max="277" width="7.85546875" style="21" bestFit="1" customWidth="1"/>
    <col min="278" max="278" width="8.5703125" style="21" customWidth="1"/>
    <col min="279" max="513" width="9.140625" style="21"/>
    <col min="514" max="514" width="6.28515625" style="21" customWidth="1"/>
    <col min="515" max="515" width="9.140625" style="21"/>
    <col min="516" max="516" width="4.7109375" style="21" customWidth="1"/>
    <col min="517" max="517" width="11" style="21" customWidth="1"/>
    <col min="518" max="518" width="9.140625" style="21"/>
    <col min="519" max="519" width="6.42578125" style="21" customWidth="1"/>
    <col min="520" max="528" width="0" style="21" hidden="1" customWidth="1"/>
    <col min="529" max="529" width="8.85546875" style="21" customWidth="1"/>
    <col min="530" max="530" width="7.7109375" style="21" customWidth="1"/>
    <col min="531" max="531" width="7.85546875" style="21" customWidth="1"/>
    <col min="532" max="532" width="9.140625" style="21"/>
    <col min="533" max="533" width="7.85546875" style="21" bestFit="1" customWidth="1"/>
    <col min="534" max="534" width="8.5703125" style="21" customWidth="1"/>
    <col min="535" max="769" width="9.140625" style="21"/>
    <col min="770" max="770" width="6.28515625" style="21" customWidth="1"/>
    <col min="771" max="771" width="9.140625" style="21"/>
    <col min="772" max="772" width="4.7109375" style="21" customWidth="1"/>
    <col min="773" max="773" width="11" style="21" customWidth="1"/>
    <col min="774" max="774" width="9.140625" style="21"/>
    <col min="775" max="775" width="6.42578125" style="21" customWidth="1"/>
    <col min="776" max="784" width="0" style="21" hidden="1" customWidth="1"/>
    <col min="785" max="785" width="8.85546875" style="21" customWidth="1"/>
    <col min="786" max="786" width="7.7109375" style="21" customWidth="1"/>
    <col min="787" max="787" width="7.85546875" style="21" customWidth="1"/>
    <col min="788" max="788" width="9.140625" style="21"/>
    <col min="789" max="789" width="7.85546875" style="21" bestFit="1" customWidth="1"/>
    <col min="790" max="790" width="8.5703125" style="21" customWidth="1"/>
    <col min="791" max="1025" width="9.140625" style="21"/>
    <col min="1026" max="1026" width="6.28515625" style="21" customWidth="1"/>
    <col min="1027" max="1027" width="9.140625" style="21"/>
    <col min="1028" max="1028" width="4.7109375" style="21" customWidth="1"/>
    <col min="1029" max="1029" width="11" style="21" customWidth="1"/>
    <col min="1030" max="1030" width="9.140625" style="21"/>
    <col min="1031" max="1031" width="6.42578125" style="21" customWidth="1"/>
    <col min="1032" max="1040" width="0" style="21" hidden="1" customWidth="1"/>
    <col min="1041" max="1041" width="8.85546875" style="21" customWidth="1"/>
    <col min="1042" max="1042" width="7.7109375" style="21" customWidth="1"/>
    <col min="1043" max="1043" width="7.85546875" style="21" customWidth="1"/>
    <col min="1044" max="1044" width="9.140625" style="21"/>
    <col min="1045" max="1045" width="7.85546875" style="21" bestFit="1" customWidth="1"/>
    <col min="1046" max="1046" width="8.5703125" style="21" customWidth="1"/>
    <col min="1047" max="1281" width="9.140625" style="21"/>
    <col min="1282" max="1282" width="6.28515625" style="21" customWidth="1"/>
    <col min="1283" max="1283" width="9.140625" style="21"/>
    <col min="1284" max="1284" width="4.7109375" style="21" customWidth="1"/>
    <col min="1285" max="1285" width="11" style="21" customWidth="1"/>
    <col min="1286" max="1286" width="9.140625" style="21"/>
    <col min="1287" max="1287" width="6.42578125" style="21" customWidth="1"/>
    <col min="1288" max="1296" width="0" style="21" hidden="1" customWidth="1"/>
    <col min="1297" max="1297" width="8.85546875" style="21" customWidth="1"/>
    <col min="1298" max="1298" width="7.7109375" style="21" customWidth="1"/>
    <col min="1299" max="1299" width="7.85546875" style="21" customWidth="1"/>
    <col min="1300" max="1300" width="9.140625" style="21"/>
    <col min="1301" max="1301" width="7.85546875" style="21" bestFit="1" customWidth="1"/>
    <col min="1302" max="1302" width="8.5703125" style="21" customWidth="1"/>
    <col min="1303" max="1537" width="9.140625" style="21"/>
    <col min="1538" max="1538" width="6.28515625" style="21" customWidth="1"/>
    <col min="1539" max="1539" width="9.140625" style="21"/>
    <col min="1540" max="1540" width="4.7109375" style="21" customWidth="1"/>
    <col min="1541" max="1541" width="11" style="21" customWidth="1"/>
    <col min="1542" max="1542" width="9.140625" style="21"/>
    <col min="1543" max="1543" width="6.42578125" style="21" customWidth="1"/>
    <col min="1544" max="1552" width="0" style="21" hidden="1" customWidth="1"/>
    <col min="1553" max="1553" width="8.85546875" style="21" customWidth="1"/>
    <col min="1554" max="1554" width="7.7109375" style="21" customWidth="1"/>
    <col min="1555" max="1555" width="7.85546875" style="21" customWidth="1"/>
    <col min="1556" max="1556" width="9.140625" style="21"/>
    <col min="1557" max="1557" width="7.85546875" style="21" bestFit="1" customWidth="1"/>
    <col min="1558" max="1558" width="8.5703125" style="21" customWidth="1"/>
    <col min="1559" max="1793" width="9.140625" style="21"/>
    <col min="1794" max="1794" width="6.28515625" style="21" customWidth="1"/>
    <col min="1795" max="1795" width="9.140625" style="21"/>
    <col min="1796" max="1796" width="4.7109375" style="21" customWidth="1"/>
    <col min="1797" max="1797" width="11" style="21" customWidth="1"/>
    <col min="1798" max="1798" width="9.140625" style="21"/>
    <col min="1799" max="1799" width="6.42578125" style="21" customWidth="1"/>
    <col min="1800" max="1808" width="0" style="21" hidden="1" customWidth="1"/>
    <col min="1809" max="1809" width="8.85546875" style="21" customWidth="1"/>
    <col min="1810" max="1810" width="7.7109375" style="21" customWidth="1"/>
    <col min="1811" max="1811" width="7.85546875" style="21" customWidth="1"/>
    <col min="1812" max="1812" width="9.140625" style="21"/>
    <col min="1813" max="1813" width="7.85546875" style="21" bestFit="1" customWidth="1"/>
    <col min="1814" max="1814" width="8.5703125" style="21" customWidth="1"/>
    <col min="1815" max="2049" width="9.140625" style="21"/>
    <col min="2050" max="2050" width="6.28515625" style="21" customWidth="1"/>
    <col min="2051" max="2051" width="9.140625" style="21"/>
    <col min="2052" max="2052" width="4.7109375" style="21" customWidth="1"/>
    <col min="2053" max="2053" width="11" style="21" customWidth="1"/>
    <col min="2054" max="2054" width="9.140625" style="21"/>
    <col min="2055" max="2055" width="6.42578125" style="21" customWidth="1"/>
    <col min="2056" max="2064" width="0" style="21" hidden="1" customWidth="1"/>
    <col min="2065" max="2065" width="8.85546875" style="21" customWidth="1"/>
    <col min="2066" max="2066" width="7.7109375" style="21" customWidth="1"/>
    <col min="2067" max="2067" width="7.85546875" style="21" customWidth="1"/>
    <col min="2068" max="2068" width="9.140625" style="21"/>
    <col min="2069" max="2069" width="7.85546875" style="21" bestFit="1" customWidth="1"/>
    <col min="2070" max="2070" width="8.5703125" style="21" customWidth="1"/>
    <col min="2071" max="2305" width="9.140625" style="21"/>
    <col min="2306" max="2306" width="6.28515625" style="21" customWidth="1"/>
    <col min="2307" max="2307" width="9.140625" style="21"/>
    <col min="2308" max="2308" width="4.7109375" style="21" customWidth="1"/>
    <col min="2309" max="2309" width="11" style="21" customWidth="1"/>
    <col min="2310" max="2310" width="9.140625" style="21"/>
    <col min="2311" max="2311" width="6.42578125" style="21" customWidth="1"/>
    <col min="2312" max="2320" width="0" style="21" hidden="1" customWidth="1"/>
    <col min="2321" max="2321" width="8.85546875" style="21" customWidth="1"/>
    <col min="2322" max="2322" width="7.7109375" style="21" customWidth="1"/>
    <col min="2323" max="2323" width="7.85546875" style="21" customWidth="1"/>
    <col min="2324" max="2324" width="9.140625" style="21"/>
    <col min="2325" max="2325" width="7.85546875" style="21" bestFit="1" customWidth="1"/>
    <col min="2326" max="2326" width="8.5703125" style="21" customWidth="1"/>
    <col min="2327" max="2561" width="9.140625" style="21"/>
    <col min="2562" max="2562" width="6.28515625" style="21" customWidth="1"/>
    <col min="2563" max="2563" width="9.140625" style="21"/>
    <col min="2564" max="2564" width="4.7109375" style="21" customWidth="1"/>
    <col min="2565" max="2565" width="11" style="21" customWidth="1"/>
    <col min="2566" max="2566" width="9.140625" style="21"/>
    <col min="2567" max="2567" width="6.42578125" style="21" customWidth="1"/>
    <col min="2568" max="2576" width="0" style="21" hidden="1" customWidth="1"/>
    <col min="2577" max="2577" width="8.85546875" style="21" customWidth="1"/>
    <col min="2578" max="2578" width="7.7109375" style="21" customWidth="1"/>
    <col min="2579" max="2579" width="7.85546875" style="21" customWidth="1"/>
    <col min="2580" max="2580" width="9.140625" style="21"/>
    <col min="2581" max="2581" width="7.85546875" style="21" bestFit="1" customWidth="1"/>
    <col min="2582" max="2582" width="8.5703125" style="21" customWidth="1"/>
    <col min="2583" max="2817" width="9.140625" style="21"/>
    <col min="2818" max="2818" width="6.28515625" style="21" customWidth="1"/>
    <col min="2819" max="2819" width="9.140625" style="21"/>
    <col min="2820" max="2820" width="4.7109375" style="21" customWidth="1"/>
    <col min="2821" max="2821" width="11" style="21" customWidth="1"/>
    <col min="2822" max="2822" width="9.140625" style="21"/>
    <col min="2823" max="2823" width="6.42578125" style="21" customWidth="1"/>
    <col min="2824" max="2832" width="0" style="21" hidden="1" customWidth="1"/>
    <col min="2833" max="2833" width="8.85546875" style="21" customWidth="1"/>
    <col min="2834" max="2834" width="7.7109375" style="21" customWidth="1"/>
    <col min="2835" max="2835" width="7.85546875" style="21" customWidth="1"/>
    <col min="2836" max="2836" width="9.140625" style="21"/>
    <col min="2837" max="2837" width="7.85546875" style="21" bestFit="1" customWidth="1"/>
    <col min="2838" max="2838" width="8.5703125" style="21" customWidth="1"/>
    <col min="2839" max="3073" width="9.140625" style="21"/>
    <col min="3074" max="3074" width="6.28515625" style="21" customWidth="1"/>
    <col min="3075" max="3075" width="9.140625" style="21"/>
    <col min="3076" max="3076" width="4.7109375" style="21" customWidth="1"/>
    <col min="3077" max="3077" width="11" style="21" customWidth="1"/>
    <col min="3078" max="3078" width="9.140625" style="21"/>
    <col min="3079" max="3079" width="6.42578125" style="21" customWidth="1"/>
    <col min="3080" max="3088" width="0" style="21" hidden="1" customWidth="1"/>
    <col min="3089" max="3089" width="8.85546875" style="21" customWidth="1"/>
    <col min="3090" max="3090" width="7.7109375" style="21" customWidth="1"/>
    <col min="3091" max="3091" width="7.85546875" style="21" customWidth="1"/>
    <col min="3092" max="3092" width="9.140625" style="21"/>
    <col min="3093" max="3093" width="7.85546875" style="21" bestFit="1" customWidth="1"/>
    <col min="3094" max="3094" width="8.5703125" style="21" customWidth="1"/>
    <col min="3095" max="3329" width="9.140625" style="21"/>
    <col min="3330" max="3330" width="6.28515625" style="21" customWidth="1"/>
    <col min="3331" max="3331" width="9.140625" style="21"/>
    <col min="3332" max="3332" width="4.7109375" style="21" customWidth="1"/>
    <col min="3333" max="3333" width="11" style="21" customWidth="1"/>
    <col min="3334" max="3334" width="9.140625" style="21"/>
    <col min="3335" max="3335" width="6.42578125" style="21" customWidth="1"/>
    <col min="3336" max="3344" width="0" style="21" hidden="1" customWidth="1"/>
    <col min="3345" max="3345" width="8.85546875" style="21" customWidth="1"/>
    <col min="3346" max="3346" width="7.7109375" style="21" customWidth="1"/>
    <col min="3347" max="3347" width="7.85546875" style="21" customWidth="1"/>
    <col min="3348" max="3348" width="9.140625" style="21"/>
    <col min="3349" max="3349" width="7.85546875" style="21" bestFit="1" customWidth="1"/>
    <col min="3350" max="3350" width="8.5703125" style="21" customWidth="1"/>
    <col min="3351" max="3585" width="9.140625" style="21"/>
    <col min="3586" max="3586" width="6.28515625" style="21" customWidth="1"/>
    <col min="3587" max="3587" width="9.140625" style="21"/>
    <col min="3588" max="3588" width="4.7109375" style="21" customWidth="1"/>
    <col min="3589" max="3589" width="11" style="21" customWidth="1"/>
    <col min="3590" max="3590" width="9.140625" style="21"/>
    <col min="3591" max="3591" width="6.42578125" style="21" customWidth="1"/>
    <col min="3592" max="3600" width="0" style="21" hidden="1" customWidth="1"/>
    <col min="3601" max="3601" width="8.85546875" style="21" customWidth="1"/>
    <col min="3602" max="3602" width="7.7109375" style="21" customWidth="1"/>
    <col min="3603" max="3603" width="7.85546875" style="21" customWidth="1"/>
    <col min="3604" max="3604" width="9.140625" style="21"/>
    <col min="3605" max="3605" width="7.85546875" style="21" bestFit="1" customWidth="1"/>
    <col min="3606" max="3606" width="8.5703125" style="21" customWidth="1"/>
    <col min="3607" max="3841" width="9.140625" style="21"/>
    <col min="3842" max="3842" width="6.28515625" style="21" customWidth="1"/>
    <col min="3843" max="3843" width="9.140625" style="21"/>
    <col min="3844" max="3844" width="4.7109375" style="21" customWidth="1"/>
    <col min="3845" max="3845" width="11" style="21" customWidth="1"/>
    <col min="3846" max="3846" width="9.140625" style="21"/>
    <col min="3847" max="3847" width="6.42578125" style="21" customWidth="1"/>
    <col min="3848" max="3856" width="0" style="21" hidden="1" customWidth="1"/>
    <col min="3857" max="3857" width="8.85546875" style="21" customWidth="1"/>
    <col min="3858" max="3858" width="7.7109375" style="21" customWidth="1"/>
    <col min="3859" max="3859" width="7.85546875" style="21" customWidth="1"/>
    <col min="3860" max="3860" width="9.140625" style="21"/>
    <col min="3861" max="3861" width="7.85546875" style="21" bestFit="1" customWidth="1"/>
    <col min="3862" max="3862" width="8.5703125" style="21" customWidth="1"/>
    <col min="3863" max="4097" width="9.140625" style="21"/>
    <col min="4098" max="4098" width="6.28515625" style="21" customWidth="1"/>
    <col min="4099" max="4099" width="9.140625" style="21"/>
    <col min="4100" max="4100" width="4.7109375" style="21" customWidth="1"/>
    <col min="4101" max="4101" width="11" style="21" customWidth="1"/>
    <col min="4102" max="4102" width="9.140625" style="21"/>
    <col min="4103" max="4103" width="6.42578125" style="21" customWidth="1"/>
    <col min="4104" max="4112" width="0" style="21" hidden="1" customWidth="1"/>
    <col min="4113" max="4113" width="8.85546875" style="21" customWidth="1"/>
    <col min="4114" max="4114" width="7.7109375" style="21" customWidth="1"/>
    <col min="4115" max="4115" width="7.85546875" style="21" customWidth="1"/>
    <col min="4116" max="4116" width="9.140625" style="21"/>
    <col min="4117" max="4117" width="7.85546875" style="21" bestFit="1" customWidth="1"/>
    <col min="4118" max="4118" width="8.5703125" style="21" customWidth="1"/>
    <col min="4119" max="4353" width="9.140625" style="21"/>
    <col min="4354" max="4354" width="6.28515625" style="21" customWidth="1"/>
    <col min="4355" max="4355" width="9.140625" style="21"/>
    <col min="4356" max="4356" width="4.7109375" style="21" customWidth="1"/>
    <col min="4357" max="4357" width="11" style="21" customWidth="1"/>
    <col min="4358" max="4358" width="9.140625" style="21"/>
    <col min="4359" max="4359" width="6.42578125" style="21" customWidth="1"/>
    <col min="4360" max="4368" width="0" style="21" hidden="1" customWidth="1"/>
    <col min="4369" max="4369" width="8.85546875" style="21" customWidth="1"/>
    <col min="4370" max="4370" width="7.7109375" style="21" customWidth="1"/>
    <col min="4371" max="4371" width="7.85546875" style="21" customWidth="1"/>
    <col min="4372" max="4372" width="9.140625" style="21"/>
    <col min="4373" max="4373" width="7.85546875" style="21" bestFit="1" customWidth="1"/>
    <col min="4374" max="4374" width="8.5703125" style="21" customWidth="1"/>
    <col min="4375" max="4609" width="9.140625" style="21"/>
    <col min="4610" max="4610" width="6.28515625" style="21" customWidth="1"/>
    <col min="4611" max="4611" width="9.140625" style="21"/>
    <col min="4612" max="4612" width="4.7109375" style="21" customWidth="1"/>
    <col min="4613" max="4613" width="11" style="21" customWidth="1"/>
    <col min="4614" max="4614" width="9.140625" style="21"/>
    <col min="4615" max="4615" width="6.42578125" style="21" customWidth="1"/>
    <col min="4616" max="4624" width="0" style="21" hidden="1" customWidth="1"/>
    <col min="4625" max="4625" width="8.85546875" style="21" customWidth="1"/>
    <col min="4626" max="4626" width="7.7109375" style="21" customWidth="1"/>
    <col min="4627" max="4627" width="7.85546875" style="21" customWidth="1"/>
    <col min="4628" max="4628" width="9.140625" style="21"/>
    <col min="4629" max="4629" width="7.85546875" style="21" bestFit="1" customWidth="1"/>
    <col min="4630" max="4630" width="8.5703125" style="21" customWidth="1"/>
    <col min="4631" max="4865" width="9.140625" style="21"/>
    <col min="4866" max="4866" width="6.28515625" style="21" customWidth="1"/>
    <col min="4867" max="4867" width="9.140625" style="21"/>
    <col min="4868" max="4868" width="4.7109375" style="21" customWidth="1"/>
    <col min="4869" max="4869" width="11" style="21" customWidth="1"/>
    <col min="4870" max="4870" width="9.140625" style="21"/>
    <col min="4871" max="4871" width="6.42578125" style="21" customWidth="1"/>
    <col min="4872" max="4880" width="0" style="21" hidden="1" customWidth="1"/>
    <col min="4881" max="4881" width="8.85546875" style="21" customWidth="1"/>
    <col min="4882" max="4882" width="7.7109375" style="21" customWidth="1"/>
    <col min="4883" max="4883" width="7.85546875" style="21" customWidth="1"/>
    <col min="4884" max="4884" width="9.140625" style="21"/>
    <col min="4885" max="4885" width="7.85546875" style="21" bestFit="1" customWidth="1"/>
    <col min="4886" max="4886" width="8.5703125" style="21" customWidth="1"/>
    <col min="4887" max="5121" width="9.140625" style="21"/>
    <col min="5122" max="5122" width="6.28515625" style="21" customWidth="1"/>
    <col min="5123" max="5123" width="9.140625" style="21"/>
    <col min="5124" max="5124" width="4.7109375" style="21" customWidth="1"/>
    <col min="5125" max="5125" width="11" style="21" customWidth="1"/>
    <col min="5126" max="5126" width="9.140625" style="21"/>
    <col min="5127" max="5127" width="6.42578125" style="21" customWidth="1"/>
    <col min="5128" max="5136" width="0" style="21" hidden="1" customWidth="1"/>
    <col min="5137" max="5137" width="8.85546875" style="21" customWidth="1"/>
    <col min="5138" max="5138" width="7.7109375" style="21" customWidth="1"/>
    <col min="5139" max="5139" width="7.85546875" style="21" customWidth="1"/>
    <col min="5140" max="5140" width="9.140625" style="21"/>
    <col min="5141" max="5141" width="7.85546875" style="21" bestFit="1" customWidth="1"/>
    <col min="5142" max="5142" width="8.5703125" style="21" customWidth="1"/>
    <col min="5143" max="5377" width="9.140625" style="21"/>
    <col min="5378" max="5378" width="6.28515625" style="21" customWidth="1"/>
    <col min="5379" max="5379" width="9.140625" style="21"/>
    <col min="5380" max="5380" width="4.7109375" style="21" customWidth="1"/>
    <col min="5381" max="5381" width="11" style="21" customWidth="1"/>
    <col min="5382" max="5382" width="9.140625" style="21"/>
    <col min="5383" max="5383" width="6.42578125" style="21" customWidth="1"/>
    <col min="5384" max="5392" width="0" style="21" hidden="1" customWidth="1"/>
    <col min="5393" max="5393" width="8.85546875" style="21" customWidth="1"/>
    <col min="5394" max="5394" width="7.7109375" style="21" customWidth="1"/>
    <col min="5395" max="5395" width="7.85546875" style="21" customWidth="1"/>
    <col min="5396" max="5396" width="9.140625" style="21"/>
    <col min="5397" max="5397" width="7.85546875" style="21" bestFit="1" customWidth="1"/>
    <col min="5398" max="5398" width="8.5703125" style="21" customWidth="1"/>
    <col min="5399" max="5633" width="9.140625" style="21"/>
    <col min="5634" max="5634" width="6.28515625" style="21" customWidth="1"/>
    <col min="5635" max="5635" width="9.140625" style="21"/>
    <col min="5636" max="5636" width="4.7109375" style="21" customWidth="1"/>
    <col min="5637" max="5637" width="11" style="21" customWidth="1"/>
    <col min="5638" max="5638" width="9.140625" style="21"/>
    <col min="5639" max="5639" width="6.42578125" style="21" customWidth="1"/>
    <col min="5640" max="5648" width="0" style="21" hidden="1" customWidth="1"/>
    <col min="5649" max="5649" width="8.85546875" style="21" customWidth="1"/>
    <col min="5650" max="5650" width="7.7109375" style="21" customWidth="1"/>
    <col min="5651" max="5651" width="7.85546875" style="21" customWidth="1"/>
    <col min="5652" max="5652" width="9.140625" style="21"/>
    <col min="5653" max="5653" width="7.85546875" style="21" bestFit="1" customWidth="1"/>
    <col min="5654" max="5654" width="8.5703125" style="21" customWidth="1"/>
    <col min="5655" max="5889" width="9.140625" style="21"/>
    <col min="5890" max="5890" width="6.28515625" style="21" customWidth="1"/>
    <col min="5891" max="5891" width="9.140625" style="21"/>
    <col min="5892" max="5892" width="4.7109375" style="21" customWidth="1"/>
    <col min="5893" max="5893" width="11" style="21" customWidth="1"/>
    <col min="5894" max="5894" width="9.140625" style="21"/>
    <col min="5895" max="5895" width="6.42578125" style="21" customWidth="1"/>
    <col min="5896" max="5904" width="0" style="21" hidden="1" customWidth="1"/>
    <col min="5905" max="5905" width="8.85546875" style="21" customWidth="1"/>
    <col min="5906" max="5906" width="7.7109375" style="21" customWidth="1"/>
    <col min="5907" max="5907" width="7.85546875" style="21" customWidth="1"/>
    <col min="5908" max="5908" width="9.140625" style="21"/>
    <col min="5909" max="5909" width="7.85546875" style="21" bestFit="1" customWidth="1"/>
    <col min="5910" max="5910" width="8.5703125" style="21" customWidth="1"/>
    <col min="5911" max="6145" width="9.140625" style="21"/>
    <col min="6146" max="6146" width="6.28515625" style="21" customWidth="1"/>
    <col min="6147" max="6147" width="9.140625" style="21"/>
    <col min="6148" max="6148" width="4.7109375" style="21" customWidth="1"/>
    <col min="6149" max="6149" width="11" style="21" customWidth="1"/>
    <col min="6150" max="6150" width="9.140625" style="21"/>
    <col min="6151" max="6151" width="6.42578125" style="21" customWidth="1"/>
    <col min="6152" max="6160" width="0" style="21" hidden="1" customWidth="1"/>
    <col min="6161" max="6161" width="8.85546875" style="21" customWidth="1"/>
    <col min="6162" max="6162" width="7.7109375" style="21" customWidth="1"/>
    <col min="6163" max="6163" width="7.85546875" style="21" customWidth="1"/>
    <col min="6164" max="6164" width="9.140625" style="21"/>
    <col min="6165" max="6165" width="7.85546875" style="21" bestFit="1" customWidth="1"/>
    <col min="6166" max="6166" width="8.5703125" style="21" customWidth="1"/>
    <col min="6167" max="6401" width="9.140625" style="21"/>
    <col min="6402" max="6402" width="6.28515625" style="21" customWidth="1"/>
    <col min="6403" max="6403" width="9.140625" style="21"/>
    <col min="6404" max="6404" width="4.7109375" style="21" customWidth="1"/>
    <col min="6405" max="6405" width="11" style="21" customWidth="1"/>
    <col min="6406" max="6406" width="9.140625" style="21"/>
    <col min="6407" max="6407" width="6.42578125" style="21" customWidth="1"/>
    <col min="6408" max="6416" width="0" style="21" hidden="1" customWidth="1"/>
    <col min="6417" max="6417" width="8.85546875" style="21" customWidth="1"/>
    <col min="6418" max="6418" width="7.7109375" style="21" customWidth="1"/>
    <col min="6419" max="6419" width="7.85546875" style="21" customWidth="1"/>
    <col min="6420" max="6420" width="9.140625" style="21"/>
    <col min="6421" max="6421" width="7.85546875" style="21" bestFit="1" customWidth="1"/>
    <col min="6422" max="6422" width="8.5703125" style="21" customWidth="1"/>
    <col min="6423" max="6657" width="9.140625" style="21"/>
    <col min="6658" max="6658" width="6.28515625" style="21" customWidth="1"/>
    <col min="6659" max="6659" width="9.140625" style="21"/>
    <col min="6660" max="6660" width="4.7109375" style="21" customWidth="1"/>
    <col min="6661" max="6661" width="11" style="21" customWidth="1"/>
    <col min="6662" max="6662" width="9.140625" style="21"/>
    <col min="6663" max="6663" width="6.42578125" style="21" customWidth="1"/>
    <col min="6664" max="6672" width="0" style="21" hidden="1" customWidth="1"/>
    <col min="6673" max="6673" width="8.85546875" style="21" customWidth="1"/>
    <col min="6674" max="6674" width="7.7109375" style="21" customWidth="1"/>
    <col min="6675" max="6675" width="7.85546875" style="21" customWidth="1"/>
    <col min="6676" max="6676" width="9.140625" style="21"/>
    <col min="6677" max="6677" width="7.85546875" style="21" bestFit="1" customWidth="1"/>
    <col min="6678" max="6678" width="8.5703125" style="21" customWidth="1"/>
    <col min="6679" max="6913" width="9.140625" style="21"/>
    <col min="6914" max="6914" width="6.28515625" style="21" customWidth="1"/>
    <col min="6915" max="6915" width="9.140625" style="21"/>
    <col min="6916" max="6916" width="4.7109375" style="21" customWidth="1"/>
    <col min="6917" max="6917" width="11" style="21" customWidth="1"/>
    <col min="6918" max="6918" width="9.140625" style="21"/>
    <col min="6919" max="6919" width="6.42578125" style="21" customWidth="1"/>
    <col min="6920" max="6928" width="0" style="21" hidden="1" customWidth="1"/>
    <col min="6929" max="6929" width="8.85546875" style="21" customWidth="1"/>
    <col min="6930" max="6930" width="7.7109375" style="21" customWidth="1"/>
    <col min="6931" max="6931" width="7.85546875" style="21" customWidth="1"/>
    <col min="6932" max="6932" width="9.140625" style="21"/>
    <col min="6933" max="6933" width="7.85546875" style="21" bestFit="1" customWidth="1"/>
    <col min="6934" max="6934" width="8.5703125" style="21" customWidth="1"/>
    <col min="6935" max="7169" width="9.140625" style="21"/>
    <col min="7170" max="7170" width="6.28515625" style="21" customWidth="1"/>
    <col min="7171" max="7171" width="9.140625" style="21"/>
    <col min="7172" max="7172" width="4.7109375" style="21" customWidth="1"/>
    <col min="7173" max="7173" width="11" style="21" customWidth="1"/>
    <col min="7174" max="7174" width="9.140625" style="21"/>
    <col min="7175" max="7175" width="6.42578125" style="21" customWidth="1"/>
    <col min="7176" max="7184" width="0" style="21" hidden="1" customWidth="1"/>
    <col min="7185" max="7185" width="8.85546875" style="21" customWidth="1"/>
    <col min="7186" max="7186" width="7.7109375" style="21" customWidth="1"/>
    <col min="7187" max="7187" width="7.85546875" style="21" customWidth="1"/>
    <col min="7188" max="7188" width="9.140625" style="21"/>
    <col min="7189" max="7189" width="7.85546875" style="21" bestFit="1" customWidth="1"/>
    <col min="7190" max="7190" width="8.5703125" style="21" customWidth="1"/>
    <col min="7191" max="7425" width="9.140625" style="21"/>
    <col min="7426" max="7426" width="6.28515625" style="21" customWidth="1"/>
    <col min="7427" max="7427" width="9.140625" style="21"/>
    <col min="7428" max="7428" width="4.7109375" style="21" customWidth="1"/>
    <col min="7429" max="7429" width="11" style="21" customWidth="1"/>
    <col min="7430" max="7430" width="9.140625" style="21"/>
    <col min="7431" max="7431" width="6.42578125" style="21" customWidth="1"/>
    <col min="7432" max="7440" width="0" style="21" hidden="1" customWidth="1"/>
    <col min="7441" max="7441" width="8.85546875" style="21" customWidth="1"/>
    <col min="7442" max="7442" width="7.7109375" style="21" customWidth="1"/>
    <col min="7443" max="7443" width="7.85546875" style="21" customWidth="1"/>
    <col min="7444" max="7444" width="9.140625" style="21"/>
    <col min="7445" max="7445" width="7.85546875" style="21" bestFit="1" customWidth="1"/>
    <col min="7446" max="7446" width="8.5703125" style="21" customWidth="1"/>
    <col min="7447" max="7681" width="9.140625" style="21"/>
    <col min="7682" max="7682" width="6.28515625" style="21" customWidth="1"/>
    <col min="7683" max="7683" width="9.140625" style="21"/>
    <col min="7684" max="7684" width="4.7109375" style="21" customWidth="1"/>
    <col min="7685" max="7685" width="11" style="21" customWidth="1"/>
    <col min="7686" max="7686" width="9.140625" style="21"/>
    <col min="7687" max="7687" width="6.42578125" style="21" customWidth="1"/>
    <col min="7688" max="7696" width="0" style="21" hidden="1" customWidth="1"/>
    <col min="7697" max="7697" width="8.85546875" style="21" customWidth="1"/>
    <col min="7698" max="7698" width="7.7109375" style="21" customWidth="1"/>
    <col min="7699" max="7699" width="7.85546875" style="21" customWidth="1"/>
    <col min="7700" max="7700" width="9.140625" style="21"/>
    <col min="7701" max="7701" width="7.85546875" style="21" bestFit="1" customWidth="1"/>
    <col min="7702" max="7702" width="8.5703125" style="21" customWidth="1"/>
    <col min="7703" max="7937" width="9.140625" style="21"/>
    <col min="7938" max="7938" width="6.28515625" style="21" customWidth="1"/>
    <col min="7939" max="7939" width="9.140625" style="21"/>
    <col min="7940" max="7940" width="4.7109375" style="21" customWidth="1"/>
    <col min="7941" max="7941" width="11" style="21" customWidth="1"/>
    <col min="7942" max="7942" width="9.140625" style="21"/>
    <col min="7943" max="7943" width="6.42578125" style="21" customWidth="1"/>
    <col min="7944" max="7952" width="0" style="21" hidden="1" customWidth="1"/>
    <col min="7953" max="7953" width="8.85546875" style="21" customWidth="1"/>
    <col min="7954" max="7954" width="7.7109375" style="21" customWidth="1"/>
    <col min="7955" max="7955" width="7.85546875" style="21" customWidth="1"/>
    <col min="7956" max="7956" width="9.140625" style="21"/>
    <col min="7957" max="7957" width="7.85546875" style="21" bestFit="1" customWidth="1"/>
    <col min="7958" max="7958" width="8.5703125" style="21" customWidth="1"/>
    <col min="7959" max="8193" width="9.140625" style="21"/>
    <col min="8194" max="8194" width="6.28515625" style="21" customWidth="1"/>
    <col min="8195" max="8195" width="9.140625" style="21"/>
    <col min="8196" max="8196" width="4.7109375" style="21" customWidth="1"/>
    <col min="8197" max="8197" width="11" style="21" customWidth="1"/>
    <col min="8198" max="8198" width="9.140625" style="21"/>
    <col min="8199" max="8199" width="6.42578125" style="21" customWidth="1"/>
    <col min="8200" max="8208" width="0" style="21" hidden="1" customWidth="1"/>
    <col min="8209" max="8209" width="8.85546875" style="21" customWidth="1"/>
    <col min="8210" max="8210" width="7.7109375" style="21" customWidth="1"/>
    <col min="8211" max="8211" width="7.85546875" style="21" customWidth="1"/>
    <col min="8212" max="8212" width="9.140625" style="21"/>
    <col min="8213" max="8213" width="7.85546875" style="21" bestFit="1" customWidth="1"/>
    <col min="8214" max="8214" width="8.5703125" style="21" customWidth="1"/>
    <col min="8215" max="8449" width="9.140625" style="21"/>
    <col min="8450" max="8450" width="6.28515625" style="21" customWidth="1"/>
    <col min="8451" max="8451" width="9.140625" style="21"/>
    <col min="8452" max="8452" width="4.7109375" style="21" customWidth="1"/>
    <col min="8453" max="8453" width="11" style="21" customWidth="1"/>
    <col min="8454" max="8454" width="9.140625" style="21"/>
    <col min="8455" max="8455" width="6.42578125" style="21" customWidth="1"/>
    <col min="8456" max="8464" width="0" style="21" hidden="1" customWidth="1"/>
    <col min="8465" max="8465" width="8.85546875" style="21" customWidth="1"/>
    <col min="8466" max="8466" width="7.7109375" style="21" customWidth="1"/>
    <col min="8467" max="8467" width="7.85546875" style="21" customWidth="1"/>
    <col min="8468" max="8468" width="9.140625" style="21"/>
    <col min="8469" max="8469" width="7.85546875" style="21" bestFit="1" customWidth="1"/>
    <col min="8470" max="8470" width="8.5703125" style="21" customWidth="1"/>
    <col min="8471" max="8705" width="9.140625" style="21"/>
    <col min="8706" max="8706" width="6.28515625" style="21" customWidth="1"/>
    <col min="8707" max="8707" width="9.140625" style="21"/>
    <col min="8708" max="8708" width="4.7109375" style="21" customWidth="1"/>
    <col min="8709" max="8709" width="11" style="21" customWidth="1"/>
    <col min="8710" max="8710" width="9.140625" style="21"/>
    <col min="8711" max="8711" width="6.42578125" style="21" customWidth="1"/>
    <col min="8712" max="8720" width="0" style="21" hidden="1" customWidth="1"/>
    <col min="8721" max="8721" width="8.85546875" style="21" customWidth="1"/>
    <col min="8722" max="8722" width="7.7109375" style="21" customWidth="1"/>
    <col min="8723" max="8723" width="7.85546875" style="21" customWidth="1"/>
    <col min="8724" max="8724" width="9.140625" style="21"/>
    <col min="8725" max="8725" width="7.85546875" style="21" bestFit="1" customWidth="1"/>
    <col min="8726" max="8726" width="8.5703125" style="21" customWidth="1"/>
    <col min="8727" max="8961" width="9.140625" style="21"/>
    <col min="8962" max="8962" width="6.28515625" style="21" customWidth="1"/>
    <col min="8963" max="8963" width="9.140625" style="21"/>
    <col min="8964" max="8964" width="4.7109375" style="21" customWidth="1"/>
    <col min="8965" max="8965" width="11" style="21" customWidth="1"/>
    <col min="8966" max="8966" width="9.140625" style="21"/>
    <col min="8967" max="8967" width="6.42578125" style="21" customWidth="1"/>
    <col min="8968" max="8976" width="0" style="21" hidden="1" customWidth="1"/>
    <col min="8977" max="8977" width="8.85546875" style="21" customWidth="1"/>
    <col min="8978" max="8978" width="7.7109375" style="21" customWidth="1"/>
    <col min="8979" max="8979" width="7.85546875" style="21" customWidth="1"/>
    <col min="8980" max="8980" width="9.140625" style="21"/>
    <col min="8981" max="8981" width="7.85546875" style="21" bestFit="1" customWidth="1"/>
    <col min="8982" max="8982" width="8.5703125" style="21" customWidth="1"/>
    <col min="8983" max="9217" width="9.140625" style="21"/>
    <col min="9218" max="9218" width="6.28515625" style="21" customWidth="1"/>
    <col min="9219" max="9219" width="9.140625" style="21"/>
    <col min="9220" max="9220" width="4.7109375" style="21" customWidth="1"/>
    <col min="9221" max="9221" width="11" style="21" customWidth="1"/>
    <col min="9222" max="9222" width="9.140625" style="21"/>
    <col min="9223" max="9223" width="6.42578125" style="21" customWidth="1"/>
    <col min="9224" max="9232" width="0" style="21" hidden="1" customWidth="1"/>
    <col min="9233" max="9233" width="8.85546875" style="21" customWidth="1"/>
    <col min="9234" max="9234" width="7.7109375" style="21" customWidth="1"/>
    <col min="9235" max="9235" width="7.85546875" style="21" customWidth="1"/>
    <col min="9236" max="9236" width="9.140625" style="21"/>
    <col min="9237" max="9237" width="7.85546875" style="21" bestFit="1" customWidth="1"/>
    <col min="9238" max="9238" width="8.5703125" style="21" customWidth="1"/>
    <col min="9239" max="9473" width="9.140625" style="21"/>
    <col min="9474" max="9474" width="6.28515625" style="21" customWidth="1"/>
    <col min="9475" max="9475" width="9.140625" style="21"/>
    <col min="9476" max="9476" width="4.7109375" style="21" customWidth="1"/>
    <col min="9477" max="9477" width="11" style="21" customWidth="1"/>
    <col min="9478" max="9478" width="9.140625" style="21"/>
    <col min="9479" max="9479" width="6.42578125" style="21" customWidth="1"/>
    <col min="9480" max="9488" width="0" style="21" hidden="1" customWidth="1"/>
    <col min="9489" max="9489" width="8.85546875" style="21" customWidth="1"/>
    <col min="9490" max="9490" width="7.7109375" style="21" customWidth="1"/>
    <col min="9491" max="9491" width="7.85546875" style="21" customWidth="1"/>
    <col min="9492" max="9492" width="9.140625" style="21"/>
    <col min="9493" max="9493" width="7.85546875" style="21" bestFit="1" customWidth="1"/>
    <col min="9494" max="9494" width="8.5703125" style="21" customWidth="1"/>
    <col min="9495" max="9729" width="9.140625" style="21"/>
    <col min="9730" max="9730" width="6.28515625" style="21" customWidth="1"/>
    <col min="9731" max="9731" width="9.140625" style="21"/>
    <col min="9732" max="9732" width="4.7109375" style="21" customWidth="1"/>
    <col min="9733" max="9733" width="11" style="21" customWidth="1"/>
    <col min="9734" max="9734" width="9.140625" style="21"/>
    <col min="9735" max="9735" width="6.42578125" style="21" customWidth="1"/>
    <col min="9736" max="9744" width="0" style="21" hidden="1" customWidth="1"/>
    <col min="9745" max="9745" width="8.85546875" style="21" customWidth="1"/>
    <col min="9746" max="9746" width="7.7109375" style="21" customWidth="1"/>
    <col min="9747" max="9747" width="7.85546875" style="21" customWidth="1"/>
    <col min="9748" max="9748" width="9.140625" style="21"/>
    <col min="9749" max="9749" width="7.85546875" style="21" bestFit="1" customWidth="1"/>
    <col min="9750" max="9750" width="8.5703125" style="21" customWidth="1"/>
    <col min="9751" max="9985" width="9.140625" style="21"/>
    <col min="9986" max="9986" width="6.28515625" style="21" customWidth="1"/>
    <col min="9987" max="9987" width="9.140625" style="21"/>
    <col min="9988" max="9988" width="4.7109375" style="21" customWidth="1"/>
    <col min="9989" max="9989" width="11" style="21" customWidth="1"/>
    <col min="9990" max="9990" width="9.140625" style="21"/>
    <col min="9991" max="9991" width="6.42578125" style="21" customWidth="1"/>
    <col min="9992" max="10000" width="0" style="21" hidden="1" customWidth="1"/>
    <col min="10001" max="10001" width="8.85546875" style="21" customWidth="1"/>
    <col min="10002" max="10002" width="7.7109375" style="21" customWidth="1"/>
    <col min="10003" max="10003" width="7.85546875" style="21" customWidth="1"/>
    <col min="10004" max="10004" width="9.140625" style="21"/>
    <col min="10005" max="10005" width="7.85546875" style="21" bestFit="1" customWidth="1"/>
    <col min="10006" max="10006" width="8.5703125" style="21" customWidth="1"/>
    <col min="10007" max="10241" width="9.140625" style="21"/>
    <col min="10242" max="10242" width="6.28515625" style="21" customWidth="1"/>
    <col min="10243" max="10243" width="9.140625" style="21"/>
    <col min="10244" max="10244" width="4.7109375" style="21" customWidth="1"/>
    <col min="10245" max="10245" width="11" style="21" customWidth="1"/>
    <col min="10246" max="10246" width="9.140625" style="21"/>
    <col min="10247" max="10247" width="6.42578125" style="21" customWidth="1"/>
    <col min="10248" max="10256" width="0" style="21" hidden="1" customWidth="1"/>
    <col min="10257" max="10257" width="8.85546875" style="21" customWidth="1"/>
    <col min="10258" max="10258" width="7.7109375" style="21" customWidth="1"/>
    <col min="10259" max="10259" width="7.85546875" style="21" customWidth="1"/>
    <col min="10260" max="10260" width="9.140625" style="21"/>
    <col min="10261" max="10261" width="7.85546875" style="21" bestFit="1" customWidth="1"/>
    <col min="10262" max="10262" width="8.5703125" style="21" customWidth="1"/>
    <col min="10263" max="10497" width="9.140625" style="21"/>
    <col min="10498" max="10498" width="6.28515625" style="21" customWidth="1"/>
    <col min="10499" max="10499" width="9.140625" style="21"/>
    <col min="10500" max="10500" width="4.7109375" style="21" customWidth="1"/>
    <col min="10501" max="10501" width="11" style="21" customWidth="1"/>
    <col min="10502" max="10502" width="9.140625" style="21"/>
    <col min="10503" max="10503" width="6.42578125" style="21" customWidth="1"/>
    <col min="10504" max="10512" width="0" style="21" hidden="1" customWidth="1"/>
    <col min="10513" max="10513" width="8.85546875" style="21" customWidth="1"/>
    <col min="10514" max="10514" width="7.7109375" style="21" customWidth="1"/>
    <col min="10515" max="10515" width="7.85546875" style="21" customWidth="1"/>
    <col min="10516" max="10516" width="9.140625" style="21"/>
    <col min="10517" max="10517" width="7.85546875" style="21" bestFit="1" customWidth="1"/>
    <col min="10518" max="10518" width="8.5703125" style="21" customWidth="1"/>
    <col min="10519" max="10753" width="9.140625" style="21"/>
    <col min="10754" max="10754" width="6.28515625" style="21" customWidth="1"/>
    <col min="10755" max="10755" width="9.140625" style="21"/>
    <col min="10756" max="10756" width="4.7109375" style="21" customWidth="1"/>
    <col min="10757" max="10757" width="11" style="21" customWidth="1"/>
    <col min="10758" max="10758" width="9.140625" style="21"/>
    <col min="10759" max="10759" width="6.42578125" style="21" customWidth="1"/>
    <col min="10760" max="10768" width="0" style="21" hidden="1" customWidth="1"/>
    <col min="10769" max="10769" width="8.85546875" style="21" customWidth="1"/>
    <col min="10770" max="10770" width="7.7109375" style="21" customWidth="1"/>
    <col min="10771" max="10771" width="7.85546875" style="21" customWidth="1"/>
    <col min="10772" max="10772" width="9.140625" style="21"/>
    <col min="10773" max="10773" width="7.85546875" style="21" bestFit="1" customWidth="1"/>
    <col min="10774" max="10774" width="8.5703125" style="21" customWidth="1"/>
    <col min="10775" max="11009" width="9.140625" style="21"/>
    <col min="11010" max="11010" width="6.28515625" style="21" customWidth="1"/>
    <col min="11011" max="11011" width="9.140625" style="21"/>
    <col min="11012" max="11012" width="4.7109375" style="21" customWidth="1"/>
    <col min="11013" max="11013" width="11" style="21" customWidth="1"/>
    <col min="11014" max="11014" width="9.140625" style="21"/>
    <col min="11015" max="11015" width="6.42578125" style="21" customWidth="1"/>
    <col min="11016" max="11024" width="0" style="21" hidden="1" customWidth="1"/>
    <col min="11025" max="11025" width="8.85546875" style="21" customWidth="1"/>
    <col min="11026" max="11026" width="7.7109375" style="21" customWidth="1"/>
    <col min="11027" max="11027" width="7.85546875" style="21" customWidth="1"/>
    <col min="11028" max="11028" width="9.140625" style="21"/>
    <col min="11029" max="11029" width="7.85546875" style="21" bestFit="1" customWidth="1"/>
    <col min="11030" max="11030" width="8.5703125" style="21" customWidth="1"/>
    <col min="11031" max="11265" width="9.140625" style="21"/>
    <col min="11266" max="11266" width="6.28515625" style="21" customWidth="1"/>
    <col min="11267" max="11267" width="9.140625" style="21"/>
    <col min="11268" max="11268" width="4.7109375" style="21" customWidth="1"/>
    <col min="11269" max="11269" width="11" style="21" customWidth="1"/>
    <col min="11270" max="11270" width="9.140625" style="21"/>
    <col min="11271" max="11271" width="6.42578125" style="21" customWidth="1"/>
    <col min="11272" max="11280" width="0" style="21" hidden="1" customWidth="1"/>
    <col min="11281" max="11281" width="8.85546875" style="21" customWidth="1"/>
    <col min="11282" max="11282" width="7.7109375" style="21" customWidth="1"/>
    <col min="11283" max="11283" width="7.85546875" style="21" customWidth="1"/>
    <col min="11284" max="11284" width="9.140625" style="21"/>
    <col min="11285" max="11285" width="7.85546875" style="21" bestFit="1" customWidth="1"/>
    <col min="11286" max="11286" width="8.5703125" style="21" customWidth="1"/>
    <col min="11287" max="11521" width="9.140625" style="21"/>
    <col min="11522" max="11522" width="6.28515625" style="21" customWidth="1"/>
    <col min="11523" max="11523" width="9.140625" style="21"/>
    <col min="11524" max="11524" width="4.7109375" style="21" customWidth="1"/>
    <col min="11525" max="11525" width="11" style="21" customWidth="1"/>
    <col min="11526" max="11526" width="9.140625" style="21"/>
    <col min="11527" max="11527" width="6.42578125" style="21" customWidth="1"/>
    <col min="11528" max="11536" width="0" style="21" hidden="1" customWidth="1"/>
    <col min="11537" max="11537" width="8.85546875" style="21" customWidth="1"/>
    <col min="11538" max="11538" width="7.7109375" style="21" customWidth="1"/>
    <col min="11539" max="11539" width="7.85546875" style="21" customWidth="1"/>
    <col min="11540" max="11540" width="9.140625" style="21"/>
    <col min="11541" max="11541" width="7.85546875" style="21" bestFit="1" customWidth="1"/>
    <col min="11542" max="11542" width="8.5703125" style="21" customWidth="1"/>
    <col min="11543" max="11777" width="9.140625" style="21"/>
    <col min="11778" max="11778" width="6.28515625" style="21" customWidth="1"/>
    <col min="11779" max="11779" width="9.140625" style="21"/>
    <col min="11780" max="11780" width="4.7109375" style="21" customWidth="1"/>
    <col min="11781" max="11781" width="11" style="21" customWidth="1"/>
    <col min="11782" max="11782" width="9.140625" style="21"/>
    <col min="11783" max="11783" width="6.42578125" style="21" customWidth="1"/>
    <col min="11784" max="11792" width="0" style="21" hidden="1" customWidth="1"/>
    <col min="11793" max="11793" width="8.85546875" style="21" customWidth="1"/>
    <col min="11794" max="11794" width="7.7109375" style="21" customWidth="1"/>
    <col min="11795" max="11795" width="7.85546875" style="21" customWidth="1"/>
    <col min="11796" max="11796" width="9.140625" style="21"/>
    <col min="11797" max="11797" width="7.85546875" style="21" bestFit="1" customWidth="1"/>
    <col min="11798" max="11798" width="8.5703125" style="21" customWidth="1"/>
    <col min="11799" max="12033" width="9.140625" style="21"/>
    <col min="12034" max="12034" width="6.28515625" style="21" customWidth="1"/>
    <col min="12035" max="12035" width="9.140625" style="21"/>
    <col min="12036" max="12036" width="4.7109375" style="21" customWidth="1"/>
    <col min="12037" max="12037" width="11" style="21" customWidth="1"/>
    <col min="12038" max="12038" width="9.140625" style="21"/>
    <col min="12039" max="12039" width="6.42578125" style="21" customWidth="1"/>
    <col min="12040" max="12048" width="0" style="21" hidden="1" customWidth="1"/>
    <col min="12049" max="12049" width="8.85546875" style="21" customWidth="1"/>
    <col min="12050" max="12050" width="7.7109375" style="21" customWidth="1"/>
    <col min="12051" max="12051" width="7.85546875" style="21" customWidth="1"/>
    <col min="12052" max="12052" width="9.140625" style="21"/>
    <col min="12053" max="12053" width="7.85546875" style="21" bestFit="1" customWidth="1"/>
    <col min="12054" max="12054" width="8.5703125" style="21" customWidth="1"/>
    <col min="12055" max="12289" width="9.140625" style="21"/>
    <col min="12290" max="12290" width="6.28515625" style="21" customWidth="1"/>
    <col min="12291" max="12291" width="9.140625" style="21"/>
    <col min="12292" max="12292" width="4.7109375" style="21" customWidth="1"/>
    <col min="12293" max="12293" width="11" style="21" customWidth="1"/>
    <col min="12294" max="12294" width="9.140625" style="21"/>
    <col min="12295" max="12295" width="6.42578125" style="21" customWidth="1"/>
    <col min="12296" max="12304" width="0" style="21" hidden="1" customWidth="1"/>
    <col min="12305" max="12305" width="8.85546875" style="21" customWidth="1"/>
    <col min="12306" max="12306" width="7.7109375" style="21" customWidth="1"/>
    <col min="12307" max="12307" width="7.85546875" style="21" customWidth="1"/>
    <col min="12308" max="12308" width="9.140625" style="21"/>
    <col min="12309" max="12309" width="7.85546875" style="21" bestFit="1" customWidth="1"/>
    <col min="12310" max="12310" width="8.5703125" style="21" customWidth="1"/>
    <col min="12311" max="12545" width="9.140625" style="21"/>
    <col min="12546" max="12546" width="6.28515625" style="21" customWidth="1"/>
    <col min="12547" max="12547" width="9.140625" style="21"/>
    <col min="12548" max="12548" width="4.7109375" style="21" customWidth="1"/>
    <col min="12549" max="12549" width="11" style="21" customWidth="1"/>
    <col min="12550" max="12550" width="9.140625" style="21"/>
    <col min="12551" max="12551" width="6.42578125" style="21" customWidth="1"/>
    <col min="12552" max="12560" width="0" style="21" hidden="1" customWidth="1"/>
    <col min="12561" max="12561" width="8.85546875" style="21" customWidth="1"/>
    <col min="12562" max="12562" width="7.7109375" style="21" customWidth="1"/>
    <col min="12563" max="12563" width="7.85546875" style="21" customWidth="1"/>
    <col min="12564" max="12564" width="9.140625" style="21"/>
    <col min="12565" max="12565" width="7.85546875" style="21" bestFit="1" customWidth="1"/>
    <col min="12566" max="12566" width="8.5703125" style="21" customWidth="1"/>
    <col min="12567" max="12801" width="9.140625" style="21"/>
    <col min="12802" max="12802" width="6.28515625" style="21" customWidth="1"/>
    <col min="12803" max="12803" width="9.140625" style="21"/>
    <col min="12804" max="12804" width="4.7109375" style="21" customWidth="1"/>
    <col min="12805" max="12805" width="11" style="21" customWidth="1"/>
    <col min="12806" max="12806" width="9.140625" style="21"/>
    <col min="12807" max="12807" width="6.42578125" style="21" customWidth="1"/>
    <col min="12808" max="12816" width="0" style="21" hidden="1" customWidth="1"/>
    <col min="12817" max="12817" width="8.85546875" style="21" customWidth="1"/>
    <col min="12818" max="12818" width="7.7109375" style="21" customWidth="1"/>
    <col min="12819" max="12819" width="7.85546875" style="21" customWidth="1"/>
    <col min="12820" max="12820" width="9.140625" style="21"/>
    <col min="12821" max="12821" width="7.85546875" style="21" bestFit="1" customWidth="1"/>
    <col min="12822" max="12822" width="8.5703125" style="21" customWidth="1"/>
    <col min="12823" max="13057" width="9.140625" style="21"/>
    <col min="13058" max="13058" width="6.28515625" style="21" customWidth="1"/>
    <col min="13059" max="13059" width="9.140625" style="21"/>
    <col min="13060" max="13060" width="4.7109375" style="21" customWidth="1"/>
    <col min="13061" max="13061" width="11" style="21" customWidth="1"/>
    <col min="13062" max="13062" width="9.140625" style="21"/>
    <col min="13063" max="13063" width="6.42578125" style="21" customWidth="1"/>
    <col min="13064" max="13072" width="0" style="21" hidden="1" customWidth="1"/>
    <col min="13073" max="13073" width="8.85546875" style="21" customWidth="1"/>
    <col min="13074" max="13074" width="7.7109375" style="21" customWidth="1"/>
    <col min="13075" max="13075" width="7.85546875" style="21" customWidth="1"/>
    <col min="13076" max="13076" width="9.140625" style="21"/>
    <col min="13077" max="13077" width="7.85546875" style="21" bestFit="1" customWidth="1"/>
    <col min="13078" max="13078" width="8.5703125" style="21" customWidth="1"/>
    <col min="13079" max="13313" width="9.140625" style="21"/>
    <col min="13314" max="13314" width="6.28515625" style="21" customWidth="1"/>
    <col min="13315" max="13315" width="9.140625" style="21"/>
    <col min="13316" max="13316" width="4.7109375" style="21" customWidth="1"/>
    <col min="13317" max="13317" width="11" style="21" customWidth="1"/>
    <col min="13318" max="13318" width="9.140625" style="21"/>
    <col min="13319" max="13319" width="6.42578125" style="21" customWidth="1"/>
    <col min="13320" max="13328" width="0" style="21" hidden="1" customWidth="1"/>
    <col min="13329" max="13329" width="8.85546875" style="21" customWidth="1"/>
    <col min="13330" max="13330" width="7.7109375" style="21" customWidth="1"/>
    <col min="13331" max="13331" width="7.85546875" style="21" customWidth="1"/>
    <col min="13332" max="13332" width="9.140625" style="21"/>
    <col min="13333" max="13333" width="7.85546875" style="21" bestFit="1" customWidth="1"/>
    <col min="13334" max="13334" width="8.5703125" style="21" customWidth="1"/>
    <col min="13335" max="13569" width="9.140625" style="21"/>
    <col min="13570" max="13570" width="6.28515625" style="21" customWidth="1"/>
    <col min="13571" max="13571" width="9.140625" style="21"/>
    <col min="13572" max="13572" width="4.7109375" style="21" customWidth="1"/>
    <col min="13573" max="13573" width="11" style="21" customWidth="1"/>
    <col min="13574" max="13574" width="9.140625" style="21"/>
    <col min="13575" max="13575" width="6.42578125" style="21" customWidth="1"/>
    <col min="13576" max="13584" width="0" style="21" hidden="1" customWidth="1"/>
    <col min="13585" max="13585" width="8.85546875" style="21" customWidth="1"/>
    <col min="13586" max="13586" width="7.7109375" style="21" customWidth="1"/>
    <col min="13587" max="13587" width="7.85546875" style="21" customWidth="1"/>
    <col min="13588" max="13588" width="9.140625" style="21"/>
    <col min="13589" max="13589" width="7.85546875" style="21" bestFit="1" customWidth="1"/>
    <col min="13590" max="13590" width="8.5703125" style="21" customWidth="1"/>
    <col min="13591" max="13825" width="9.140625" style="21"/>
    <col min="13826" max="13826" width="6.28515625" style="21" customWidth="1"/>
    <col min="13827" max="13827" width="9.140625" style="21"/>
    <col min="13828" max="13828" width="4.7109375" style="21" customWidth="1"/>
    <col min="13829" max="13829" width="11" style="21" customWidth="1"/>
    <col min="13830" max="13830" width="9.140625" style="21"/>
    <col min="13831" max="13831" width="6.42578125" style="21" customWidth="1"/>
    <col min="13832" max="13840" width="0" style="21" hidden="1" customWidth="1"/>
    <col min="13841" max="13841" width="8.85546875" style="21" customWidth="1"/>
    <col min="13842" max="13842" width="7.7109375" style="21" customWidth="1"/>
    <col min="13843" max="13843" width="7.85546875" style="21" customWidth="1"/>
    <col min="13844" max="13844" width="9.140625" style="21"/>
    <col min="13845" max="13845" width="7.85546875" style="21" bestFit="1" customWidth="1"/>
    <col min="13846" max="13846" width="8.5703125" style="21" customWidth="1"/>
    <col min="13847" max="14081" width="9.140625" style="21"/>
    <col min="14082" max="14082" width="6.28515625" style="21" customWidth="1"/>
    <col min="14083" max="14083" width="9.140625" style="21"/>
    <col min="14084" max="14084" width="4.7109375" style="21" customWidth="1"/>
    <col min="14085" max="14085" width="11" style="21" customWidth="1"/>
    <col min="14086" max="14086" width="9.140625" style="21"/>
    <col min="14087" max="14087" width="6.42578125" style="21" customWidth="1"/>
    <col min="14088" max="14096" width="0" style="21" hidden="1" customWidth="1"/>
    <col min="14097" max="14097" width="8.85546875" style="21" customWidth="1"/>
    <col min="14098" max="14098" width="7.7109375" style="21" customWidth="1"/>
    <col min="14099" max="14099" width="7.85546875" style="21" customWidth="1"/>
    <col min="14100" max="14100" width="9.140625" style="21"/>
    <col min="14101" max="14101" width="7.85546875" style="21" bestFit="1" customWidth="1"/>
    <col min="14102" max="14102" width="8.5703125" style="21" customWidth="1"/>
    <col min="14103" max="14337" width="9.140625" style="21"/>
    <col min="14338" max="14338" width="6.28515625" style="21" customWidth="1"/>
    <col min="14339" max="14339" width="9.140625" style="21"/>
    <col min="14340" max="14340" width="4.7109375" style="21" customWidth="1"/>
    <col min="14341" max="14341" width="11" style="21" customWidth="1"/>
    <col min="14342" max="14342" width="9.140625" style="21"/>
    <col min="14343" max="14343" width="6.42578125" style="21" customWidth="1"/>
    <col min="14344" max="14352" width="0" style="21" hidden="1" customWidth="1"/>
    <col min="14353" max="14353" width="8.85546875" style="21" customWidth="1"/>
    <col min="14354" max="14354" width="7.7109375" style="21" customWidth="1"/>
    <col min="14355" max="14355" width="7.85546875" style="21" customWidth="1"/>
    <col min="14356" max="14356" width="9.140625" style="21"/>
    <col min="14357" max="14357" width="7.85546875" style="21" bestFit="1" customWidth="1"/>
    <col min="14358" max="14358" width="8.5703125" style="21" customWidth="1"/>
    <col min="14359" max="14593" width="9.140625" style="21"/>
    <col min="14594" max="14594" width="6.28515625" style="21" customWidth="1"/>
    <col min="14595" max="14595" width="9.140625" style="21"/>
    <col min="14596" max="14596" width="4.7109375" style="21" customWidth="1"/>
    <col min="14597" max="14597" width="11" style="21" customWidth="1"/>
    <col min="14598" max="14598" width="9.140625" style="21"/>
    <col min="14599" max="14599" width="6.42578125" style="21" customWidth="1"/>
    <col min="14600" max="14608" width="0" style="21" hidden="1" customWidth="1"/>
    <col min="14609" max="14609" width="8.85546875" style="21" customWidth="1"/>
    <col min="14610" max="14610" width="7.7109375" style="21" customWidth="1"/>
    <col min="14611" max="14611" width="7.85546875" style="21" customWidth="1"/>
    <col min="14612" max="14612" width="9.140625" style="21"/>
    <col min="14613" max="14613" width="7.85546875" style="21" bestFit="1" customWidth="1"/>
    <col min="14614" max="14614" width="8.5703125" style="21" customWidth="1"/>
    <col min="14615" max="14849" width="9.140625" style="21"/>
    <col min="14850" max="14850" width="6.28515625" style="21" customWidth="1"/>
    <col min="14851" max="14851" width="9.140625" style="21"/>
    <col min="14852" max="14852" width="4.7109375" style="21" customWidth="1"/>
    <col min="14853" max="14853" width="11" style="21" customWidth="1"/>
    <col min="14854" max="14854" width="9.140625" style="21"/>
    <col min="14855" max="14855" width="6.42578125" style="21" customWidth="1"/>
    <col min="14856" max="14864" width="0" style="21" hidden="1" customWidth="1"/>
    <col min="14865" max="14865" width="8.85546875" style="21" customWidth="1"/>
    <col min="14866" max="14866" width="7.7109375" style="21" customWidth="1"/>
    <col min="14867" max="14867" width="7.85546875" style="21" customWidth="1"/>
    <col min="14868" max="14868" width="9.140625" style="21"/>
    <col min="14869" max="14869" width="7.85546875" style="21" bestFit="1" customWidth="1"/>
    <col min="14870" max="14870" width="8.5703125" style="21" customWidth="1"/>
    <col min="14871" max="15105" width="9.140625" style="21"/>
    <col min="15106" max="15106" width="6.28515625" style="21" customWidth="1"/>
    <col min="15107" max="15107" width="9.140625" style="21"/>
    <col min="15108" max="15108" width="4.7109375" style="21" customWidth="1"/>
    <col min="15109" max="15109" width="11" style="21" customWidth="1"/>
    <col min="15110" max="15110" width="9.140625" style="21"/>
    <col min="15111" max="15111" width="6.42578125" style="21" customWidth="1"/>
    <col min="15112" max="15120" width="0" style="21" hidden="1" customWidth="1"/>
    <col min="15121" max="15121" width="8.85546875" style="21" customWidth="1"/>
    <col min="15122" max="15122" width="7.7109375" style="21" customWidth="1"/>
    <col min="15123" max="15123" width="7.85546875" style="21" customWidth="1"/>
    <col min="15124" max="15124" width="9.140625" style="21"/>
    <col min="15125" max="15125" width="7.85546875" style="21" bestFit="1" customWidth="1"/>
    <col min="15126" max="15126" width="8.5703125" style="21" customWidth="1"/>
    <col min="15127" max="15361" width="9.140625" style="21"/>
    <col min="15362" max="15362" width="6.28515625" style="21" customWidth="1"/>
    <col min="15363" max="15363" width="9.140625" style="21"/>
    <col min="15364" max="15364" width="4.7109375" style="21" customWidth="1"/>
    <col min="15365" max="15365" width="11" style="21" customWidth="1"/>
    <col min="15366" max="15366" width="9.140625" style="21"/>
    <col min="15367" max="15367" width="6.42578125" style="21" customWidth="1"/>
    <col min="15368" max="15376" width="0" style="21" hidden="1" customWidth="1"/>
    <col min="15377" max="15377" width="8.85546875" style="21" customWidth="1"/>
    <col min="15378" max="15378" width="7.7109375" style="21" customWidth="1"/>
    <col min="15379" max="15379" width="7.85546875" style="21" customWidth="1"/>
    <col min="15380" max="15380" width="9.140625" style="21"/>
    <col min="15381" max="15381" width="7.85546875" style="21" bestFit="1" customWidth="1"/>
    <col min="15382" max="15382" width="8.5703125" style="21" customWidth="1"/>
    <col min="15383" max="15617" width="9.140625" style="21"/>
    <col min="15618" max="15618" width="6.28515625" style="21" customWidth="1"/>
    <col min="15619" max="15619" width="9.140625" style="21"/>
    <col min="15620" max="15620" width="4.7109375" style="21" customWidth="1"/>
    <col min="15621" max="15621" width="11" style="21" customWidth="1"/>
    <col min="15622" max="15622" width="9.140625" style="21"/>
    <col min="15623" max="15623" width="6.42578125" style="21" customWidth="1"/>
    <col min="15624" max="15632" width="0" style="21" hidden="1" customWidth="1"/>
    <col min="15633" max="15633" width="8.85546875" style="21" customWidth="1"/>
    <col min="15634" max="15634" width="7.7109375" style="21" customWidth="1"/>
    <col min="15635" max="15635" width="7.85546875" style="21" customWidth="1"/>
    <col min="15636" max="15636" width="9.140625" style="21"/>
    <col min="15637" max="15637" width="7.85546875" style="21" bestFit="1" customWidth="1"/>
    <col min="15638" max="15638" width="8.5703125" style="21" customWidth="1"/>
    <col min="15639" max="15873" width="9.140625" style="21"/>
    <col min="15874" max="15874" width="6.28515625" style="21" customWidth="1"/>
    <col min="15875" max="15875" width="9.140625" style="21"/>
    <col min="15876" max="15876" width="4.7109375" style="21" customWidth="1"/>
    <col min="15877" max="15877" width="11" style="21" customWidth="1"/>
    <col min="15878" max="15878" width="9.140625" style="21"/>
    <col min="15879" max="15879" width="6.42578125" style="21" customWidth="1"/>
    <col min="15880" max="15888" width="0" style="21" hidden="1" customWidth="1"/>
    <col min="15889" max="15889" width="8.85546875" style="21" customWidth="1"/>
    <col min="15890" max="15890" width="7.7109375" style="21" customWidth="1"/>
    <col min="15891" max="15891" width="7.85546875" style="21" customWidth="1"/>
    <col min="15892" max="15892" width="9.140625" style="21"/>
    <col min="15893" max="15893" width="7.85546875" style="21" bestFit="1" customWidth="1"/>
    <col min="15894" max="15894" width="8.5703125" style="21" customWidth="1"/>
    <col min="15895" max="16129" width="9.140625" style="21"/>
    <col min="16130" max="16130" width="6.28515625" style="21" customWidth="1"/>
    <col min="16131" max="16131" width="9.140625" style="21"/>
    <col min="16132" max="16132" width="4.7109375" style="21" customWidth="1"/>
    <col min="16133" max="16133" width="11" style="21" customWidth="1"/>
    <col min="16134" max="16134" width="9.140625" style="21"/>
    <col min="16135" max="16135" width="6.42578125" style="21" customWidth="1"/>
    <col min="16136" max="16144" width="0" style="21" hidden="1" customWidth="1"/>
    <col min="16145" max="16145" width="8.85546875" style="21" customWidth="1"/>
    <col min="16146" max="16146" width="7.7109375" style="21" customWidth="1"/>
    <col min="16147" max="16147" width="7.85546875" style="21" customWidth="1"/>
    <col min="16148" max="16148" width="9.140625" style="21"/>
    <col min="16149" max="16149" width="7.85546875" style="21" bestFit="1" customWidth="1"/>
    <col min="16150" max="16150" width="8.5703125" style="21" customWidth="1"/>
    <col min="16151" max="16384" width="9.140625" style="21"/>
  </cols>
  <sheetData>
    <row r="1" spans="1:23" s="27" customFormat="1" ht="14.25" customHeight="1">
      <c r="A1" s="23" t="s">
        <v>225</v>
      </c>
      <c r="F1" s="459"/>
      <c r="G1" s="459"/>
    </row>
    <row r="3" spans="1:23" s="463" customFormat="1" ht="12.75" customHeight="1">
      <c r="A3" s="778" t="s">
        <v>550</v>
      </c>
      <c r="B3" s="778"/>
      <c r="C3" s="778"/>
      <c r="D3" s="778"/>
      <c r="E3" s="778"/>
      <c r="F3" s="778"/>
      <c r="G3" s="778"/>
      <c r="H3" s="778"/>
      <c r="I3" s="778"/>
      <c r="J3" s="778"/>
      <c r="K3" s="778"/>
      <c r="L3" s="778"/>
      <c r="M3" s="778"/>
      <c r="N3" s="778"/>
      <c r="O3" s="778"/>
      <c r="P3" s="778"/>
      <c r="Q3" s="778"/>
      <c r="R3" s="778"/>
      <c r="S3" s="778"/>
      <c r="T3" s="778"/>
      <c r="U3" s="778"/>
      <c r="V3" s="778"/>
      <c r="W3" s="778"/>
    </row>
    <row r="4" spans="1:23" s="463" customFormat="1">
      <c r="A4" s="779"/>
      <c r="B4" s="779"/>
      <c r="C4" s="779"/>
      <c r="D4" s="779"/>
      <c r="E4" s="779"/>
      <c r="F4" s="779"/>
      <c r="G4" s="779"/>
      <c r="H4" s="779"/>
      <c r="I4" s="779"/>
      <c r="J4" s="779"/>
      <c r="K4" s="779"/>
      <c r="L4" s="779"/>
      <c r="M4" s="779"/>
      <c r="N4" s="779"/>
      <c r="O4" s="779"/>
      <c r="P4" s="779"/>
      <c r="Q4" s="779"/>
      <c r="R4" s="779"/>
      <c r="S4" s="779"/>
      <c r="T4" s="779"/>
      <c r="U4" s="779"/>
      <c r="V4" s="779"/>
      <c r="W4" s="779"/>
    </row>
    <row r="5" spans="1:23" s="463" customFormat="1">
      <c r="A5" s="780" t="s">
        <v>219</v>
      </c>
      <c r="B5" s="781"/>
      <c r="C5" s="781"/>
      <c r="D5" s="781"/>
      <c r="E5" s="781"/>
      <c r="F5" s="781"/>
      <c r="G5" s="782"/>
      <c r="H5" s="464"/>
      <c r="I5" s="795" t="s">
        <v>373</v>
      </c>
      <c r="J5" s="796"/>
      <c r="K5" s="796"/>
      <c r="L5" s="796"/>
      <c r="M5" s="796"/>
      <c r="N5" s="796"/>
      <c r="O5" s="796"/>
      <c r="P5" s="796"/>
      <c r="Q5" s="796"/>
      <c r="R5" s="796"/>
      <c r="S5" s="796"/>
      <c r="T5" s="796"/>
      <c r="U5" s="796"/>
      <c r="V5" s="796"/>
      <c r="W5" s="797"/>
    </row>
    <row r="6" spans="1:23" s="463" customFormat="1">
      <c r="A6" s="783"/>
      <c r="B6" s="784"/>
      <c r="C6" s="784"/>
      <c r="D6" s="784"/>
      <c r="E6" s="784"/>
      <c r="F6" s="784"/>
      <c r="G6" s="785"/>
      <c r="H6" s="465" t="s">
        <v>228</v>
      </c>
      <c r="I6" s="465" t="s">
        <v>229</v>
      </c>
      <c r="J6" s="466" t="s">
        <v>230</v>
      </c>
      <c r="K6" s="466" t="s">
        <v>231</v>
      </c>
      <c r="L6" s="466" t="s">
        <v>232</v>
      </c>
      <c r="M6" s="466" t="s">
        <v>233</v>
      </c>
      <c r="N6" s="466" t="s">
        <v>234</v>
      </c>
      <c r="O6" s="467" t="s">
        <v>235</v>
      </c>
      <c r="P6" s="468" t="s">
        <v>236</v>
      </c>
      <c r="Q6" s="468" t="s">
        <v>199</v>
      </c>
      <c r="R6" s="468" t="s">
        <v>200</v>
      </c>
      <c r="S6" s="468" t="s">
        <v>201</v>
      </c>
      <c r="T6" s="468" t="s">
        <v>237</v>
      </c>
      <c r="U6" s="468" t="s">
        <v>238</v>
      </c>
      <c r="V6" s="468" t="s">
        <v>239</v>
      </c>
      <c r="W6" s="469" t="s">
        <v>414</v>
      </c>
    </row>
    <row r="7" spans="1:23" s="463" customFormat="1" ht="17.25" customHeight="1">
      <c r="A7" s="470" t="s">
        <v>374</v>
      </c>
      <c r="B7" s="461"/>
      <c r="C7" s="461"/>
      <c r="D7" s="460"/>
      <c r="E7" s="460"/>
      <c r="F7" s="460"/>
      <c r="G7" s="460"/>
      <c r="H7" s="460"/>
      <c r="I7" s="471"/>
      <c r="J7" s="471"/>
      <c r="K7" s="471"/>
      <c r="L7" s="471"/>
      <c r="M7" s="471"/>
      <c r="N7" s="472"/>
      <c r="O7" s="472"/>
      <c r="P7" s="473"/>
      <c r="Q7" s="473"/>
      <c r="R7" s="473"/>
      <c r="S7" s="473"/>
      <c r="T7" s="474"/>
      <c r="U7" s="474"/>
      <c r="V7" s="473"/>
      <c r="W7" s="475"/>
    </row>
    <row r="8" spans="1:23" s="463" customFormat="1">
      <c r="A8" s="786" t="s">
        <v>329</v>
      </c>
      <c r="B8" s="787"/>
      <c r="C8" s="792" t="s">
        <v>364</v>
      </c>
      <c r="D8" s="793"/>
      <c r="E8" s="793"/>
      <c r="F8" s="793"/>
      <c r="G8" s="794"/>
      <c r="H8" s="467">
        <v>121</v>
      </c>
      <c r="I8" s="467">
        <v>131</v>
      </c>
      <c r="J8" s="466">
        <v>225</v>
      </c>
      <c r="K8" s="466">
        <v>121</v>
      </c>
      <c r="L8" s="466">
        <v>48</v>
      </c>
      <c r="M8" s="476">
        <v>112</v>
      </c>
      <c r="N8" s="466">
        <v>93</v>
      </c>
      <c r="O8" s="477">
        <v>119</v>
      </c>
      <c r="P8" s="469">
        <v>77</v>
      </c>
      <c r="Q8" s="469">
        <v>102</v>
      </c>
      <c r="R8" s="469">
        <v>76</v>
      </c>
      <c r="S8" s="469">
        <v>81</v>
      </c>
      <c r="T8" s="469">
        <v>103</v>
      </c>
      <c r="U8" s="464">
        <v>107</v>
      </c>
      <c r="V8" s="469">
        <v>123</v>
      </c>
      <c r="W8" s="469">
        <v>119</v>
      </c>
    </row>
    <row r="9" spans="1:23" s="463" customFormat="1">
      <c r="A9" s="788"/>
      <c r="B9" s="789"/>
      <c r="C9" s="774" t="s">
        <v>375</v>
      </c>
      <c r="D9" s="777"/>
      <c r="E9" s="777"/>
      <c r="F9" s="777"/>
      <c r="G9" s="775"/>
      <c r="H9" s="478">
        <v>4962</v>
      </c>
      <c r="I9" s="478">
        <v>5199</v>
      </c>
      <c r="J9" s="477">
        <v>6218</v>
      </c>
      <c r="K9" s="477">
        <v>7644</v>
      </c>
      <c r="L9" s="477">
        <v>4606</v>
      </c>
      <c r="M9" s="479">
        <v>5176</v>
      </c>
      <c r="N9" s="477">
        <v>5957</v>
      </c>
      <c r="O9" s="477">
        <v>5724</v>
      </c>
      <c r="P9" s="469">
        <v>5711</v>
      </c>
      <c r="Q9" s="469">
        <v>4474</v>
      </c>
      <c r="R9" s="469">
        <v>5174</v>
      </c>
      <c r="S9" s="469">
        <v>5365</v>
      </c>
      <c r="T9" s="469">
        <v>4899</v>
      </c>
      <c r="U9" s="464">
        <v>5908</v>
      </c>
      <c r="V9" s="469">
        <v>5319</v>
      </c>
      <c r="W9" s="469">
        <v>5857</v>
      </c>
    </row>
    <row r="10" spans="1:23" s="463" customFormat="1">
      <c r="A10" s="790"/>
      <c r="B10" s="791"/>
      <c r="C10" s="792" t="s">
        <v>56</v>
      </c>
      <c r="D10" s="793"/>
      <c r="E10" s="793"/>
      <c r="F10" s="793"/>
      <c r="G10" s="794"/>
      <c r="H10" s="467">
        <v>5083</v>
      </c>
      <c r="I10" s="467">
        <v>5330</v>
      </c>
      <c r="J10" s="466">
        <v>6443</v>
      </c>
      <c r="K10" s="466">
        <v>7765</v>
      </c>
      <c r="L10" s="466">
        <v>4654</v>
      </c>
      <c r="M10" s="476">
        <v>5288</v>
      </c>
      <c r="N10" s="466">
        <v>6050</v>
      </c>
      <c r="O10" s="477">
        <f t="shared" ref="O10:T10" si="0">O8+O9</f>
        <v>5843</v>
      </c>
      <c r="P10" s="477">
        <f t="shared" si="0"/>
        <v>5788</v>
      </c>
      <c r="Q10" s="477">
        <f t="shared" si="0"/>
        <v>4576</v>
      </c>
      <c r="R10" s="477">
        <f t="shared" si="0"/>
        <v>5250</v>
      </c>
      <c r="S10" s="469">
        <f t="shared" si="0"/>
        <v>5446</v>
      </c>
      <c r="T10" s="469">
        <f t="shared" si="0"/>
        <v>5002</v>
      </c>
      <c r="U10" s="464">
        <f>U8+U9</f>
        <v>6015</v>
      </c>
      <c r="V10" s="464">
        <f>V8+V9</f>
        <v>5442</v>
      </c>
      <c r="W10" s="469">
        <f>W8+W9</f>
        <v>5976</v>
      </c>
    </row>
    <row r="11" spans="1:23" s="463" customFormat="1">
      <c r="A11" s="765" t="s">
        <v>330</v>
      </c>
      <c r="B11" s="767"/>
      <c r="C11" s="774" t="s">
        <v>364</v>
      </c>
      <c r="D11" s="777"/>
      <c r="E11" s="777"/>
      <c r="F11" s="777"/>
      <c r="G11" s="775"/>
      <c r="H11" s="478">
        <v>1848</v>
      </c>
      <c r="I11" s="478">
        <v>1513</v>
      </c>
      <c r="J11" s="477">
        <v>3171</v>
      </c>
      <c r="K11" s="477">
        <v>1606</v>
      </c>
      <c r="L11" s="477">
        <v>781</v>
      </c>
      <c r="M11" s="479">
        <v>2651</v>
      </c>
      <c r="N11" s="477">
        <v>2077</v>
      </c>
      <c r="O11" s="477">
        <v>2456</v>
      </c>
      <c r="P11" s="469">
        <v>1917</v>
      </c>
      <c r="Q11" s="469">
        <v>2424</v>
      </c>
      <c r="R11" s="469">
        <v>2619</v>
      </c>
      <c r="S11" s="469">
        <v>2434</v>
      </c>
      <c r="T11" s="469">
        <v>2427</v>
      </c>
      <c r="U11" s="464">
        <v>2774</v>
      </c>
      <c r="V11" s="469">
        <v>3385</v>
      </c>
      <c r="W11" s="469">
        <v>2956</v>
      </c>
    </row>
    <row r="12" spans="1:23" s="463" customFormat="1">
      <c r="A12" s="768"/>
      <c r="B12" s="770"/>
      <c r="C12" s="774" t="s">
        <v>375</v>
      </c>
      <c r="D12" s="777"/>
      <c r="E12" s="777"/>
      <c r="F12" s="777"/>
      <c r="G12" s="775"/>
      <c r="H12" s="480">
        <v>144861</v>
      </c>
      <c r="I12" s="480">
        <v>149839</v>
      </c>
      <c r="J12" s="477">
        <v>174410</v>
      </c>
      <c r="K12" s="477">
        <v>166889</v>
      </c>
      <c r="L12" s="477">
        <v>130773</v>
      </c>
      <c r="M12" s="479">
        <v>191455</v>
      </c>
      <c r="N12" s="477">
        <v>207669</v>
      </c>
      <c r="O12" s="477">
        <v>198415</v>
      </c>
      <c r="P12" s="469">
        <v>204332</v>
      </c>
      <c r="Q12" s="469">
        <v>182972</v>
      </c>
      <c r="R12" s="469">
        <v>212346</v>
      </c>
      <c r="S12" s="469">
        <v>224463</v>
      </c>
      <c r="T12" s="469">
        <v>200435</v>
      </c>
      <c r="U12" s="464">
        <v>242144</v>
      </c>
      <c r="V12" s="469">
        <v>190918</v>
      </c>
      <c r="W12" s="469">
        <v>214198</v>
      </c>
    </row>
    <row r="13" spans="1:23" s="463" customFormat="1">
      <c r="A13" s="771"/>
      <c r="B13" s="773"/>
      <c r="C13" s="774" t="s">
        <v>56</v>
      </c>
      <c r="D13" s="777"/>
      <c r="E13" s="777"/>
      <c r="F13" s="777"/>
      <c r="G13" s="775"/>
      <c r="H13" s="480">
        <v>146709</v>
      </c>
      <c r="I13" s="480">
        <v>151352</v>
      </c>
      <c r="J13" s="477">
        <v>177581</v>
      </c>
      <c r="K13" s="477">
        <v>168495</v>
      </c>
      <c r="L13" s="477">
        <v>131554</v>
      </c>
      <c r="M13" s="479">
        <v>194106</v>
      </c>
      <c r="N13" s="477">
        <f t="shared" ref="N13:T13" si="1">N11+N12</f>
        <v>209746</v>
      </c>
      <c r="O13" s="477">
        <f t="shared" si="1"/>
        <v>200871</v>
      </c>
      <c r="P13" s="477">
        <f t="shared" si="1"/>
        <v>206249</v>
      </c>
      <c r="Q13" s="477">
        <f t="shared" si="1"/>
        <v>185396</v>
      </c>
      <c r="R13" s="477">
        <f t="shared" si="1"/>
        <v>214965</v>
      </c>
      <c r="S13" s="469">
        <f t="shared" si="1"/>
        <v>226897</v>
      </c>
      <c r="T13" s="469">
        <f t="shared" si="1"/>
        <v>202862</v>
      </c>
      <c r="U13" s="464">
        <f>U11+U12</f>
        <v>244918</v>
      </c>
      <c r="V13" s="464">
        <f>V11+V12</f>
        <v>194303</v>
      </c>
      <c r="W13" s="469">
        <f>W11+W12</f>
        <v>217154</v>
      </c>
    </row>
    <row r="14" spans="1:23" s="463" customFormat="1">
      <c r="A14" s="786" t="s">
        <v>551</v>
      </c>
      <c r="B14" s="787"/>
      <c r="C14" s="792" t="s">
        <v>364</v>
      </c>
      <c r="D14" s="793"/>
      <c r="E14" s="793"/>
      <c r="F14" s="793"/>
      <c r="G14" s="794"/>
      <c r="H14" s="467">
        <v>64.400000000000006</v>
      </c>
      <c r="I14" s="467">
        <v>43.2</v>
      </c>
      <c r="J14" s="466">
        <v>120.6</v>
      </c>
      <c r="K14" s="466">
        <v>52.4</v>
      </c>
      <c r="L14" s="466">
        <v>30.9</v>
      </c>
      <c r="M14" s="476">
        <v>101.1</v>
      </c>
      <c r="N14" s="481">
        <v>100</v>
      </c>
      <c r="O14" s="482">
        <v>147</v>
      </c>
      <c r="P14" s="483">
        <v>116</v>
      </c>
      <c r="Q14" s="483">
        <f>174.6/3.4528</f>
        <v>50.567655236329934</v>
      </c>
      <c r="R14" s="483">
        <f>158.826/3.4528</f>
        <v>45.999189063948101</v>
      </c>
      <c r="S14" s="483">
        <f>165.6/3.4528</f>
        <v>47.961075069508802</v>
      </c>
      <c r="T14" s="483">
        <f>150.2/3.4528</f>
        <v>43.50092678405931</v>
      </c>
      <c r="U14" s="484">
        <f>181.3/3.4528</f>
        <v>52.508109360519008</v>
      </c>
      <c r="V14" s="483">
        <v>66.25</v>
      </c>
      <c r="W14" s="483">
        <v>66.45</v>
      </c>
    </row>
    <row r="15" spans="1:23" s="463" customFormat="1">
      <c r="A15" s="788"/>
      <c r="B15" s="789"/>
      <c r="C15" s="774" t="s">
        <v>375</v>
      </c>
      <c r="D15" s="777"/>
      <c r="E15" s="777"/>
      <c r="F15" s="777"/>
      <c r="G15" s="775"/>
      <c r="H15" s="478">
        <v>6271</v>
      </c>
      <c r="I15" s="478">
        <v>6254.2</v>
      </c>
      <c r="J15" s="477">
        <v>7026.7</v>
      </c>
      <c r="K15" s="477">
        <v>7374.3</v>
      </c>
      <c r="L15" s="477">
        <v>7272.4</v>
      </c>
      <c r="M15" s="479">
        <v>8694.2000000000007</v>
      </c>
      <c r="N15" s="482">
        <v>11094.4</v>
      </c>
      <c r="O15" s="482">
        <v>12682</v>
      </c>
      <c r="P15" s="469">
        <v>16669.900000000001</v>
      </c>
      <c r="Q15" s="483">
        <f>16429.1/3.4528</f>
        <v>4758.1962465245597</v>
      </c>
      <c r="R15" s="483">
        <f>14000.551/3.4528</f>
        <v>4054.83984012975</v>
      </c>
      <c r="S15" s="483">
        <f>16498/3.4528</f>
        <v>4778.1510658016687</v>
      </c>
      <c r="T15" s="483">
        <f>15588.9/3.4528</f>
        <v>4514.8575069508806</v>
      </c>
      <c r="U15" s="484">
        <f>20656/3.4528</f>
        <v>5982.3911028730308</v>
      </c>
      <c r="V15" s="483">
        <v>5140.99</v>
      </c>
      <c r="W15" s="483">
        <v>5936.0630000000001</v>
      </c>
    </row>
    <row r="16" spans="1:23" s="463" customFormat="1">
      <c r="A16" s="790"/>
      <c r="B16" s="791"/>
      <c r="C16" s="774" t="s">
        <v>56</v>
      </c>
      <c r="D16" s="777"/>
      <c r="E16" s="777"/>
      <c r="F16" s="777"/>
      <c r="G16" s="775"/>
      <c r="H16" s="480">
        <v>6335.4</v>
      </c>
      <c r="I16" s="480">
        <v>6297.4</v>
      </c>
      <c r="J16" s="485">
        <v>7147.3</v>
      </c>
      <c r="K16" s="485">
        <v>7426.7</v>
      </c>
      <c r="L16" s="485">
        <v>7303.3</v>
      </c>
      <c r="M16" s="479">
        <v>8795.2999999999993</v>
      </c>
      <c r="N16" s="482">
        <f t="shared" ref="N16:T16" si="2">N14+N15</f>
        <v>11194.4</v>
      </c>
      <c r="O16" s="482">
        <f t="shared" si="2"/>
        <v>12829</v>
      </c>
      <c r="P16" s="482">
        <f t="shared" si="2"/>
        <v>16785.900000000001</v>
      </c>
      <c r="Q16" s="482">
        <f t="shared" si="2"/>
        <v>4808.7639017608899</v>
      </c>
      <c r="R16" s="482">
        <f t="shared" si="2"/>
        <v>4100.8390291936985</v>
      </c>
      <c r="S16" s="483">
        <f t="shared" si="2"/>
        <v>4826.1121408711779</v>
      </c>
      <c r="T16" s="483">
        <f t="shared" si="2"/>
        <v>4558.3584337349403</v>
      </c>
      <c r="U16" s="484">
        <f>U14+U15</f>
        <v>6034.8992122335494</v>
      </c>
      <c r="V16" s="484">
        <f>V14+V15</f>
        <v>5207.24</v>
      </c>
      <c r="W16" s="483">
        <f>W14+W15</f>
        <v>6002.5129999999999</v>
      </c>
    </row>
    <row r="17" spans="1:23" s="463" customFormat="1" ht="19.5" customHeight="1">
      <c r="A17" s="470" t="s">
        <v>376</v>
      </c>
      <c r="B17" s="461"/>
      <c r="C17" s="461"/>
      <c r="D17" s="461"/>
      <c r="E17" s="460"/>
      <c r="F17" s="460"/>
      <c r="G17" s="460"/>
      <c r="H17" s="460"/>
      <c r="I17" s="460"/>
      <c r="J17" s="486"/>
      <c r="K17" s="486"/>
      <c r="L17" s="486"/>
      <c r="M17" s="486"/>
      <c r="N17" s="486"/>
      <c r="O17" s="486"/>
      <c r="P17" s="474"/>
      <c r="Q17" s="474"/>
      <c r="R17" s="474"/>
      <c r="S17" s="474"/>
      <c r="T17" s="474"/>
      <c r="U17" s="474"/>
      <c r="V17" s="474"/>
      <c r="W17" s="475"/>
    </row>
    <row r="18" spans="1:23" s="463" customFormat="1">
      <c r="A18" s="765" t="s">
        <v>377</v>
      </c>
      <c r="B18" s="767"/>
      <c r="C18" s="774" t="s">
        <v>364</v>
      </c>
      <c r="D18" s="777"/>
      <c r="E18" s="777"/>
      <c r="F18" s="777"/>
      <c r="G18" s="775"/>
      <c r="H18" s="478">
        <v>0.106</v>
      </c>
      <c r="I18" s="478">
        <v>0.11799999999999999</v>
      </c>
      <c r="J18" s="487">
        <v>0.2</v>
      </c>
      <c r="K18" s="487">
        <v>0.105</v>
      </c>
      <c r="L18" s="487">
        <v>0.04</v>
      </c>
      <c r="M18" s="488">
        <v>0.09</v>
      </c>
      <c r="N18" s="487">
        <v>7.2999999999999995E-2</v>
      </c>
      <c r="O18" s="487">
        <v>0.09</v>
      </c>
      <c r="P18" s="469">
        <v>0.06</v>
      </c>
      <c r="Q18" s="469">
        <v>0.09</v>
      </c>
      <c r="R18" s="489">
        <v>6.7270400811210204E-2</v>
      </c>
      <c r="S18" s="464">
        <v>7.0000000000000007E-2</v>
      </c>
      <c r="T18" s="469">
        <v>0.08</v>
      </c>
      <c r="U18" s="464">
        <v>0.09</v>
      </c>
      <c r="V18" s="489">
        <v>0.1</v>
      </c>
      <c r="W18" s="489">
        <v>0.1</v>
      </c>
    </row>
    <row r="19" spans="1:23" s="463" customFormat="1">
      <c r="A19" s="768"/>
      <c r="B19" s="770"/>
      <c r="C19" s="774" t="s">
        <v>375</v>
      </c>
      <c r="D19" s="777"/>
      <c r="E19" s="777"/>
      <c r="F19" s="777"/>
      <c r="G19" s="775"/>
      <c r="H19" s="478">
        <v>4.3620000000000001</v>
      </c>
      <c r="I19" s="478">
        <v>4.6760000000000002</v>
      </c>
      <c r="J19" s="487">
        <v>5.52</v>
      </c>
      <c r="K19" s="487">
        <v>6.6210000000000004</v>
      </c>
      <c r="L19" s="487">
        <v>3.86</v>
      </c>
      <c r="M19" s="488">
        <v>4.2300000000000004</v>
      </c>
      <c r="N19" s="487">
        <v>4.6900000000000004</v>
      </c>
      <c r="O19" s="487">
        <v>4.33</v>
      </c>
      <c r="P19" s="469">
        <v>4.29</v>
      </c>
      <c r="Q19" s="469">
        <v>3.74</v>
      </c>
      <c r="R19" s="489">
        <v>4.5796980762789685</v>
      </c>
      <c r="S19" s="464">
        <v>4.5599999999999996</v>
      </c>
      <c r="T19" s="469">
        <v>4.0199999999999996</v>
      </c>
      <c r="U19" s="464">
        <v>4.76</v>
      </c>
      <c r="V19" s="489">
        <v>4.1900000000000004</v>
      </c>
      <c r="W19" s="469">
        <v>4.76</v>
      </c>
    </row>
    <row r="20" spans="1:23" s="463" customFormat="1">
      <c r="A20" s="771"/>
      <c r="B20" s="773"/>
      <c r="C20" s="774" t="s">
        <v>56</v>
      </c>
      <c r="D20" s="777"/>
      <c r="E20" s="777"/>
      <c r="F20" s="777"/>
      <c r="G20" s="775"/>
      <c r="H20" s="478">
        <v>4.4690000000000003</v>
      </c>
      <c r="I20" s="478">
        <v>4.7930000000000001</v>
      </c>
      <c r="J20" s="487">
        <v>5.72</v>
      </c>
      <c r="K20" s="487">
        <v>6.726</v>
      </c>
      <c r="L20" s="487">
        <v>3.903</v>
      </c>
      <c r="M20" s="488">
        <v>4.3220000000000001</v>
      </c>
      <c r="N20" s="487">
        <v>4.76</v>
      </c>
      <c r="O20" s="487">
        <f>O18+O19</f>
        <v>4.42</v>
      </c>
      <c r="P20" s="469">
        <v>4.3499999999999996</v>
      </c>
      <c r="Q20" s="469">
        <v>3.83</v>
      </c>
      <c r="R20" s="489">
        <v>4.6469684770901791</v>
      </c>
      <c r="S20" s="490">
        <v>4.63</v>
      </c>
      <c r="T20" s="489">
        <v>4.0999999999999996</v>
      </c>
      <c r="U20" s="464">
        <v>4.84</v>
      </c>
      <c r="V20" s="489">
        <v>4.28</v>
      </c>
      <c r="W20" s="469">
        <v>4.8600000000000003</v>
      </c>
    </row>
    <row r="21" spans="1:23" s="463" customFormat="1">
      <c r="A21" s="765" t="s">
        <v>378</v>
      </c>
      <c r="B21" s="767"/>
      <c r="C21" s="774" t="s">
        <v>364</v>
      </c>
      <c r="D21" s="777"/>
      <c r="E21" s="777"/>
      <c r="F21" s="777"/>
      <c r="G21" s="775"/>
      <c r="H21" s="478">
        <v>2E-3</v>
      </c>
      <c r="I21" s="478">
        <v>1E-3</v>
      </c>
      <c r="J21" s="477">
        <v>3.0000000000000001E-3</v>
      </c>
      <c r="K21" s="477">
        <v>1E-3</v>
      </c>
      <c r="L21" s="477">
        <v>1E-3</v>
      </c>
      <c r="M21" s="479">
        <v>2E-3</v>
      </c>
      <c r="N21" s="477">
        <v>1E-3</v>
      </c>
      <c r="O21" s="491">
        <v>1.8E-3</v>
      </c>
      <c r="P21" s="469">
        <v>1E-3</v>
      </c>
      <c r="Q21" s="469">
        <v>2E-3</v>
      </c>
      <c r="R21" s="492">
        <v>2.3181734174284149E-3</v>
      </c>
      <c r="S21" s="464">
        <v>2E-3</v>
      </c>
      <c r="T21" s="469">
        <v>2E-3</v>
      </c>
      <c r="U21" s="464">
        <v>2E-3</v>
      </c>
      <c r="V21" s="492">
        <v>3.0000000000000001E-3</v>
      </c>
      <c r="W21" s="492">
        <v>2.3999999999999998E-3</v>
      </c>
    </row>
    <row r="22" spans="1:23" s="463" customFormat="1">
      <c r="A22" s="768"/>
      <c r="B22" s="770"/>
      <c r="C22" s="774" t="s">
        <v>375</v>
      </c>
      <c r="D22" s="777"/>
      <c r="E22" s="777"/>
      <c r="F22" s="777"/>
      <c r="G22" s="775"/>
      <c r="H22" s="478">
        <v>0.127</v>
      </c>
      <c r="I22" s="478">
        <v>0.13500000000000001</v>
      </c>
      <c r="J22" s="477">
        <v>0.155</v>
      </c>
      <c r="K22" s="477">
        <v>0.14499999999999999</v>
      </c>
      <c r="L22" s="491">
        <v>0.11</v>
      </c>
      <c r="M22" s="479">
        <v>0.157</v>
      </c>
      <c r="N22" s="477">
        <v>0.16300000000000001</v>
      </c>
      <c r="O22" s="491">
        <v>0.15</v>
      </c>
      <c r="P22" s="469">
        <v>0.154</v>
      </c>
      <c r="Q22" s="469">
        <v>0.153</v>
      </c>
      <c r="R22" s="492">
        <v>0.18795527014022687</v>
      </c>
      <c r="S22" s="464">
        <v>0.191</v>
      </c>
      <c r="T22" s="469">
        <v>0.16400000000000001</v>
      </c>
      <c r="U22" s="464">
        <v>0.19500000000000001</v>
      </c>
      <c r="V22" s="492">
        <v>0.15</v>
      </c>
      <c r="W22" s="492">
        <v>0.1744</v>
      </c>
    </row>
    <row r="23" spans="1:23" s="463" customFormat="1">
      <c r="A23" s="771"/>
      <c r="B23" s="773"/>
      <c r="C23" s="774" t="s">
        <v>56</v>
      </c>
      <c r="D23" s="777"/>
      <c r="E23" s="777"/>
      <c r="F23" s="777"/>
      <c r="G23" s="775"/>
      <c r="H23" s="478">
        <v>0.129</v>
      </c>
      <c r="I23" s="478">
        <v>0.13600000000000001</v>
      </c>
      <c r="J23" s="477">
        <v>0.158</v>
      </c>
      <c r="K23" s="477">
        <v>0.14599999999999999</v>
      </c>
      <c r="L23" s="491">
        <v>0.11</v>
      </c>
      <c r="M23" s="479">
        <v>0.159</v>
      </c>
      <c r="N23" s="477">
        <v>0.16400000000000001</v>
      </c>
      <c r="O23" s="491">
        <f>O21+O22</f>
        <v>0.15179999999999999</v>
      </c>
      <c r="P23" s="469">
        <v>0.155</v>
      </c>
      <c r="Q23" s="469">
        <v>0.155</v>
      </c>
      <c r="R23" s="492">
        <v>0.1902734435576553</v>
      </c>
      <c r="S23" s="464">
        <v>0.193</v>
      </c>
      <c r="T23" s="469">
        <v>0.16600000000000001</v>
      </c>
      <c r="U23" s="464">
        <v>0.19700000000000001</v>
      </c>
      <c r="V23" s="492">
        <v>0.153</v>
      </c>
      <c r="W23" s="492">
        <f>W21+W22</f>
        <v>0.17680000000000001</v>
      </c>
    </row>
    <row r="24" spans="1:23" s="463" customFormat="1">
      <c r="A24" s="765" t="s">
        <v>379</v>
      </c>
      <c r="B24" s="767"/>
      <c r="C24" s="774" t="s">
        <v>364</v>
      </c>
      <c r="D24" s="777"/>
      <c r="E24" s="777"/>
      <c r="F24" s="777"/>
      <c r="G24" s="775"/>
      <c r="H24" s="478">
        <v>15.27</v>
      </c>
      <c r="I24" s="478">
        <v>11.55</v>
      </c>
      <c r="J24" s="477">
        <v>14.09</v>
      </c>
      <c r="K24" s="477">
        <v>13.27</v>
      </c>
      <c r="L24" s="477">
        <v>16.27</v>
      </c>
      <c r="M24" s="479">
        <v>23.67</v>
      </c>
      <c r="N24" s="477">
        <v>22.33</v>
      </c>
      <c r="O24" s="477">
        <v>20.64</v>
      </c>
      <c r="P24" s="489">
        <v>24.9</v>
      </c>
      <c r="Q24" s="469">
        <v>23.76</v>
      </c>
      <c r="R24" s="469">
        <v>34.46</v>
      </c>
      <c r="S24" s="464">
        <v>30.05</v>
      </c>
      <c r="T24" s="469">
        <v>23.56</v>
      </c>
      <c r="U24" s="464">
        <v>25.93</v>
      </c>
      <c r="V24" s="489">
        <v>27.52</v>
      </c>
      <c r="W24" s="469">
        <v>24.84</v>
      </c>
    </row>
    <row r="25" spans="1:23" s="463" customFormat="1">
      <c r="A25" s="768"/>
      <c r="B25" s="770"/>
      <c r="C25" s="774" t="s">
        <v>375</v>
      </c>
      <c r="D25" s="777"/>
      <c r="E25" s="777"/>
      <c r="F25" s="777"/>
      <c r="G25" s="775"/>
      <c r="H25" s="478">
        <v>29.19</v>
      </c>
      <c r="I25" s="478">
        <v>28.82</v>
      </c>
      <c r="J25" s="477">
        <v>28.05</v>
      </c>
      <c r="K25" s="477">
        <v>21.83</v>
      </c>
      <c r="L25" s="477">
        <v>28.39</v>
      </c>
      <c r="M25" s="479">
        <v>36.99</v>
      </c>
      <c r="N25" s="477">
        <v>34.86</v>
      </c>
      <c r="O25" s="477">
        <v>34.659999999999997</v>
      </c>
      <c r="P25" s="489">
        <v>35.78</v>
      </c>
      <c r="Q25" s="489">
        <v>40.9</v>
      </c>
      <c r="R25" s="489">
        <v>41.04</v>
      </c>
      <c r="S25" s="464">
        <v>41.84</v>
      </c>
      <c r="T25" s="469">
        <v>40.909999999999997</v>
      </c>
      <c r="U25" s="464">
        <v>40.99</v>
      </c>
      <c r="V25" s="489">
        <v>35.89</v>
      </c>
      <c r="W25" s="469">
        <v>36.57</v>
      </c>
    </row>
    <row r="26" spans="1:23" s="463" customFormat="1">
      <c r="A26" s="771"/>
      <c r="B26" s="773"/>
      <c r="C26" s="774" t="s">
        <v>56</v>
      </c>
      <c r="D26" s="777"/>
      <c r="E26" s="777"/>
      <c r="F26" s="777"/>
      <c r="G26" s="775"/>
      <c r="H26" s="478">
        <v>28.86</v>
      </c>
      <c r="I26" s="493">
        <v>28.4</v>
      </c>
      <c r="J26" s="477">
        <v>27.56</v>
      </c>
      <c r="K26" s="487">
        <v>21.7</v>
      </c>
      <c r="L26" s="477">
        <v>28.27</v>
      </c>
      <c r="M26" s="479">
        <v>36.71</v>
      </c>
      <c r="N26" s="477">
        <v>34.67</v>
      </c>
      <c r="O26" s="477">
        <v>34.380000000000003</v>
      </c>
      <c r="P26" s="489">
        <v>35.630000000000003</v>
      </c>
      <c r="Q26" s="469">
        <v>40.51</v>
      </c>
      <c r="R26" s="469">
        <v>40.950000000000003</v>
      </c>
      <c r="S26" s="464">
        <v>41.66</v>
      </c>
      <c r="T26" s="469">
        <v>40.56</v>
      </c>
      <c r="U26" s="464">
        <v>40.72</v>
      </c>
      <c r="V26" s="489">
        <v>35.700000000000003</v>
      </c>
      <c r="W26" s="469">
        <v>36.340000000000003</v>
      </c>
    </row>
    <row r="27" spans="1:23" s="463" customFormat="1" ht="16.5" customHeight="1">
      <c r="A27" s="470" t="s">
        <v>380</v>
      </c>
      <c r="B27" s="461"/>
      <c r="C27" s="461"/>
      <c r="D27" s="461"/>
      <c r="E27" s="461"/>
      <c r="F27" s="461"/>
      <c r="G27" s="460"/>
      <c r="H27" s="460"/>
      <c r="I27" s="460"/>
      <c r="J27" s="486"/>
      <c r="K27" s="486"/>
      <c r="L27" s="486"/>
      <c r="M27" s="486"/>
      <c r="N27" s="486"/>
      <c r="O27" s="486"/>
      <c r="P27" s="474"/>
      <c r="Q27" s="474"/>
      <c r="R27" s="474"/>
      <c r="S27" s="474"/>
      <c r="T27" s="474"/>
      <c r="U27" s="474"/>
      <c r="V27" s="474"/>
      <c r="W27" s="475"/>
    </row>
    <row r="28" spans="1:23" s="463" customFormat="1">
      <c r="A28" s="765" t="s">
        <v>361</v>
      </c>
      <c r="B28" s="767"/>
      <c r="C28" s="765" t="s">
        <v>381</v>
      </c>
      <c r="D28" s="767"/>
      <c r="E28" s="757" t="s">
        <v>382</v>
      </c>
      <c r="F28" s="774" t="s">
        <v>552</v>
      </c>
      <c r="G28" s="775"/>
      <c r="H28" s="478">
        <v>41.4</v>
      </c>
      <c r="I28" s="478">
        <v>99.9</v>
      </c>
      <c r="J28" s="477">
        <v>226.3</v>
      </c>
      <c r="K28" s="477">
        <v>120.4</v>
      </c>
      <c r="L28" s="477">
        <v>135.9</v>
      </c>
      <c r="M28" s="479">
        <v>141.1</v>
      </c>
      <c r="N28" s="477">
        <v>146.19999999999999</v>
      </c>
      <c r="O28" s="482">
        <v>164</v>
      </c>
      <c r="P28" s="483">
        <v>243</v>
      </c>
      <c r="Q28" s="483">
        <f>341.7/3.4528</f>
        <v>98.963160333642264</v>
      </c>
      <c r="R28" s="483">
        <f>439.398/3.4528</f>
        <v>127.25845690454125</v>
      </c>
      <c r="S28" s="484">
        <f>254.9/3.4528</f>
        <v>73.824142724745144</v>
      </c>
      <c r="T28" s="483">
        <f>422.7/3.4528</f>
        <v>122.42238183503244</v>
      </c>
      <c r="U28" s="484">
        <f>536.7/3.4528</f>
        <v>155.43906394810011</v>
      </c>
      <c r="V28" s="483">
        <f>441.92088/3.4528</f>
        <v>127.98913345690455</v>
      </c>
      <c r="W28" s="483">
        <f>(W29*W30)/1000</f>
        <v>134.58960000000002</v>
      </c>
    </row>
    <row r="29" spans="1:23" s="463" customFormat="1">
      <c r="A29" s="768"/>
      <c r="B29" s="770"/>
      <c r="C29" s="768"/>
      <c r="D29" s="770"/>
      <c r="E29" s="776"/>
      <c r="F29" s="774" t="s">
        <v>383</v>
      </c>
      <c r="G29" s="775"/>
      <c r="H29" s="478">
        <v>20</v>
      </c>
      <c r="I29" s="478">
        <v>40</v>
      </c>
      <c r="J29" s="477">
        <v>56</v>
      </c>
      <c r="K29" s="477">
        <v>62</v>
      </c>
      <c r="L29" s="477">
        <v>58</v>
      </c>
      <c r="M29" s="479">
        <v>76</v>
      </c>
      <c r="N29" s="477">
        <v>63</v>
      </c>
      <c r="O29" s="477">
        <v>69</v>
      </c>
      <c r="P29" s="469">
        <v>76</v>
      </c>
      <c r="Q29" s="469">
        <v>87</v>
      </c>
      <c r="R29" s="469">
        <v>105</v>
      </c>
      <c r="S29" s="464">
        <v>77</v>
      </c>
      <c r="T29" s="469">
        <v>116</v>
      </c>
      <c r="U29" s="464">
        <v>136</v>
      </c>
      <c r="V29" s="494">
        <v>109</v>
      </c>
      <c r="W29" s="469">
        <v>108</v>
      </c>
    </row>
    <row r="30" spans="1:23" s="463" customFormat="1">
      <c r="A30" s="768"/>
      <c r="B30" s="770"/>
      <c r="C30" s="768"/>
      <c r="D30" s="770"/>
      <c r="E30" s="758"/>
      <c r="F30" s="774" t="s">
        <v>553</v>
      </c>
      <c r="G30" s="775"/>
      <c r="H30" s="495">
        <v>2070</v>
      </c>
      <c r="I30" s="480">
        <v>2497.5</v>
      </c>
      <c r="J30" s="496">
        <v>4041.1</v>
      </c>
      <c r="K30" s="477">
        <v>1941.9</v>
      </c>
      <c r="L30" s="482">
        <v>2343.1030000000001</v>
      </c>
      <c r="M30" s="497">
        <v>1856.579</v>
      </c>
      <c r="N30" s="482">
        <v>2320.6</v>
      </c>
      <c r="O30" s="482">
        <v>2376.81</v>
      </c>
      <c r="P30" s="483">
        <v>3197.37</v>
      </c>
      <c r="Q30" s="483">
        <f>3927.59/3.4528</f>
        <v>1137.5086886005561</v>
      </c>
      <c r="R30" s="483">
        <f>4184.74/3.4528</f>
        <v>1211.9844763670064</v>
      </c>
      <c r="S30" s="484">
        <f>3310.53/3.4528</f>
        <v>958.79575996292874</v>
      </c>
      <c r="T30" s="483">
        <f>3644.2/3.4528</f>
        <v>1055.4332715477294</v>
      </c>
      <c r="U30" s="484">
        <f>3946.4/3.4528</f>
        <v>1142.9564411492122</v>
      </c>
      <c r="V30" s="483">
        <f>4054.32/3.4528</f>
        <v>1174.2122335495831</v>
      </c>
      <c r="W30" s="469">
        <v>1246.2</v>
      </c>
    </row>
    <row r="31" spans="1:23" s="463" customFormat="1">
      <c r="A31" s="768"/>
      <c r="B31" s="770"/>
      <c r="C31" s="768"/>
      <c r="D31" s="770"/>
      <c r="E31" s="757" t="s">
        <v>384</v>
      </c>
      <c r="F31" s="774" t="s">
        <v>552</v>
      </c>
      <c r="G31" s="775"/>
      <c r="H31" s="478">
        <v>50.4</v>
      </c>
      <c r="I31" s="478">
        <v>10.3</v>
      </c>
      <c r="J31" s="482">
        <v>66</v>
      </c>
      <c r="K31" s="477">
        <v>48.2</v>
      </c>
      <c r="L31" s="477">
        <v>84.1</v>
      </c>
      <c r="M31" s="497">
        <v>186</v>
      </c>
      <c r="N31" s="477">
        <v>184.2</v>
      </c>
      <c r="O31" s="477">
        <v>80.5</v>
      </c>
      <c r="P31" s="469">
        <v>89.4</v>
      </c>
      <c r="Q31" s="483">
        <f>143.5/3.4528</f>
        <v>41.56047265987025</v>
      </c>
      <c r="R31" s="483">
        <f>223.645/3.4528</f>
        <v>64.772069045412422</v>
      </c>
      <c r="S31" s="484">
        <f>119.9/3.4528</f>
        <v>34.725440222428176</v>
      </c>
      <c r="T31" s="483">
        <f>385.2/3.4528</f>
        <v>111.5616311399444</v>
      </c>
      <c r="U31" s="484">
        <f>254.2/3.4528</f>
        <v>73.621408711770158</v>
      </c>
      <c r="V31" s="483">
        <f>155.77075/3.4528</f>
        <v>45.114327502316961</v>
      </c>
      <c r="W31" s="483">
        <f>(W32*W33)/1000</f>
        <v>18.158080000000002</v>
      </c>
    </row>
    <row r="32" spans="1:23" s="463" customFormat="1">
      <c r="A32" s="768"/>
      <c r="B32" s="770"/>
      <c r="C32" s="768"/>
      <c r="D32" s="770"/>
      <c r="E32" s="776"/>
      <c r="F32" s="774" t="s">
        <v>383</v>
      </c>
      <c r="G32" s="775"/>
      <c r="H32" s="478">
        <v>12</v>
      </c>
      <c r="I32" s="478">
        <v>3</v>
      </c>
      <c r="J32" s="477">
        <v>10</v>
      </c>
      <c r="K32" s="477">
        <v>14</v>
      </c>
      <c r="L32" s="477">
        <v>20</v>
      </c>
      <c r="M32" s="479">
        <v>39</v>
      </c>
      <c r="N32" s="477">
        <v>28</v>
      </c>
      <c r="O32" s="477">
        <v>21</v>
      </c>
      <c r="P32" s="469">
        <v>18</v>
      </c>
      <c r="Q32" s="469">
        <v>19</v>
      </c>
      <c r="R32" s="469">
        <v>30</v>
      </c>
      <c r="S32" s="464">
        <v>21</v>
      </c>
      <c r="T32" s="469">
        <v>63</v>
      </c>
      <c r="U32" s="464">
        <v>45</v>
      </c>
      <c r="V32" s="494">
        <v>25</v>
      </c>
      <c r="W32" s="469">
        <v>8</v>
      </c>
    </row>
    <row r="33" spans="1:23" s="463" customFormat="1">
      <c r="A33" s="768"/>
      <c r="B33" s="770"/>
      <c r="C33" s="771"/>
      <c r="D33" s="773"/>
      <c r="E33" s="758"/>
      <c r="F33" s="774" t="s">
        <v>553</v>
      </c>
      <c r="G33" s="775"/>
      <c r="H33" s="478">
        <v>4200</v>
      </c>
      <c r="I33" s="498">
        <v>3433.33</v>
      </c>
      <c r="J33" s="482">
        <v>6600</v>
      </c>
      <c r="K33" s="482">
        <v>3442.9</v>
      </c>
      <c r="L33" s="482">
        <v>4205</v>
      </c>
      <c r="M33" s="497">
        <v>4769.2</v>
      </c>
      <c r="N33" s="482">
        <v>6578.6</v>
      </c>
      <c r="O33" s="482">
        <v>3833.33</v>
      </c>
      <c r="P33" s="483">
        <v>4966.67</v>
      </c>
      <c r="Q33" s="483">
        <f>7552.63/3.4528</f>
        <v>2187.392840593142</v>
      </c>
      <c r="R33" s="483">
        <f>7454.83/3.4528</f>
        <v>2159.0680027803523</v>
      </c>
      <c r="S33" s="484">
        <f>5709.5/3.4528</f>
        <v>1653.5854958294717</v>
      </c>
      <c r="T33" s="483">
        <f>6113.5/3.4528</f>
        <v>1770.5919833178871</v>
      </c>
      <c r="U33" s="484">
        <f>5649.2/3.4528</f>
        <v>1636.1214087117701</v>
      </c>
      <c r="V33" s="483">
        <f>6230.83/3.4528</f>
        <v>1804.5731000926785</v>
      </c>
      <c r="W33" s="483">
        <v>2269.7600000000002</v>
      </c>
    </row>
    <row r="34" spans="1:23" s="463" customFormat="1">
      <c r="A34" s="768"/>
      <c r="B34" s="770"/>
      <c r="C34" s="765" t="s">
        <v>385</v>
      </c>
      <c r="D34" s="767"/>
      <c r="E34" s="757" t="s">
        <v>382</v>
      </c>
      <c r="F34" s="774" t="s">
        <v>552</v>
      </c>
      <c r="G34" s="775"/>
      <c r="H34" s="478">
        <v>32.5</v>
      </c>
      <c r="I34" s="478">
        <v>155</v>
      </c>
      <c r="J34" s="482">
        <v>248</v>
      </c>
      <c r="K34" s="482">
        <v>328</v>
      </c>
      <c r="L34" s="482">
        <v>433.5</v>
      </c>
      <c r="M34" s="497">
        <v>507.5</v>
      </c>
      <c r="N34" s="482">
        <v>347</v>
      </c>
      <c r="O34" s="482">
        <v>534.9</v>
      </c>
      <c r="P34" s="469">
        <v>832.4</v>
      </c>
      <c r="Q34" s="483">
        <f>1217.1/3.4528</f>
        <v>352.49652455977758</v>
      </c>
      <c r="R34" s="483">
        <f>767.3042/3.4528</f>
        <v>222.22665662650604</v>
      </c>
      <c r="S34" s="484">
        <f>573.6/3.4528</f>
        <v>166.12604263206674</v>
      </c>
      <c r="T34" s="483">
        <f>974.6/3.4528</f>
        <v>282.26367006487493</v>
      </c>
      <c r="U34" s="484">
        <f>1239.7/3.4528</f>
        <v>359.04193697868402</v>
      </c>
      <c r="V34" s="483">
        <f>984.51417/3.4528</f>
        <v>285.1350121640408</v>
      </c>
      <c r="W34" s="483">
        <f>(W35*W36)/1000</f>
        <v>327.88336000000004</v>
      </c>
    </row>
    <row r="35" spans="1:23" s="463" customFormat="1">
      <c r="A35" s="768"/>
      <c r="B35" s="770"/>
      <c r="C35" s="768"/>
      <c r="D35" s="770"/>
      <c r="E35" s="776"/>
      <c r="F35" s="774" t="s">
        <v>383</v>
      </c>
      <c r="G35" s="775"/>
      <c r="H35" s="478">
        <v>11</v>
      </c>
      <c r="I35" s="478">
        <v>41</v>
      </c>
      <c r="J35" s="477">
        <v>57</v>
      </c>
      <c r="K35" s="477">
        <v>58</v>
      </c>
      <c r="L35" s="477">
        <v>96</v>
      </c>
      <c r="M35" s="479">
        <v>88</v>
      </c>
      <c r="N35" s="477">
        <v>63</v>
      </c>
      <c r="O35" s="477">
        <v>78</v>
      </c>
      <c r="P35" s="469">
        <v>86</v>
      </c>
      <c r="Q35" s="469">
        <v>107</v>
      </c>
      <c r="R35" s="469">
        <v>79</v>
      </c>
      <c r="S35" s="464">
        <v>75</v>
      </c>
      <c r="T35" s="469">
        <v>108</v>
      </c>
      <c r="U35" s="464">
        <v>111</v>
      </c>
      <c r="V35" s="494">
        <v>103</v>
      </c>
      <c r="W35" s="469">
        <v>112</v>
      </c>
    </row>
    <row r="36" spans="1:23" s="463" customFormat="1">
      <c r="A36" s="768"/>
      <c r="B36" s="770"/>
      <c r="C36" s="768"/>
      <c r="D36" s="770"/>
      <c r="E36" s="758"/>
      <c r="F36" s="774" t="s">
        <v>553</v>
      </c>
      <c r="G36" s="775"/>
      <c r="H36" s="478">
        <v>2954.6</v>
      </c>
      <c r="I36" s="498">
        <v>3780.49</v>
      </c>
      <c r="J36" s="482">
        <v>4350.8999999999996</v>
      </c>
      <c r="K36" s="482">
        <v>5655.2</v>
      </c>
      <c r="L36" s="482">
        <v>4515.6000000000004</v>
      </c>
      <c r="M36" s="497">
        <v>5767</v>
      </c>
      <c r="N36" s="482">
        <v>5507.94</v>
      </c>
      <c r="O36" s="482">
        <v>6857.69</v>
      </c>
      <c r="P36" s="483">
        <v>9679.07</v>
      </c>
      <c r="Q36" s="483">
        <f>11374.77/3.4528</f>
        <v>3294.3610982391106</v>
      </c>
      <c r="R36" s="483">
        <f>9712.71/3.4528</f>
        <v>2812.995250231696</v>
      </c>
      <c r="S36" s="484">
        <f>7647.85/3.4528</f>
        <v>2214.9704587581095</v>
      </c>
      <c r="T36" s="483">
        <f>9024/3.4528</f>
        <v>2613.5310472659871</v>
      </c>
      <c r="U36" s="484">
        <f>11168.8/3.4528</f>
        <v>3234.7080630213159</v>
      </c>
      <c r="V36" s="483">
        <f>9558.39/3.4528</f>
        <v>2768.3010889712696</v>
      </c>
      <c r="W36" s="483">
        <v>2927.53</v>
      </c>
    </row>
    <row r="37" spans="1:23" s="463" customFormat="1">
      <c r="A37" s="768"/>
      <c r="B37" s="770"/>
      <c r="C37" s="768"/>
      <c r="D37" s="770"/>
      <c r="E37" s="757" t="s">
        <v>384</v>
      </c>
      <c r="F37" s="774" t="s">
        <v>552</v>
      </c>
      <c r="G37" s="775"/>
      <c r="H37" s="478">
        <v>80.900000000000006</v>
      </c>
      <c r="I37" s="478">
        <v>42.6</v>
      </c>
      <c r="J37" s="477">
        <v>202.7</v>
      </c>
      <c r="K37" s="477">
        <v>167.9</v>
      </c>
      <c r="L37" s="477">
        <v>347.3</v>
      </c>
      <c r="M37" s="479">
        <v>504.3</v>
      </c>
      <c r="N37" s="477">
        <v>247.8</v>
      </c>
      <c r="O37" s="477">
        <v>312.39999999999998</v>
      </c>
      <c r="P37" s="469">
        <v>383.7</v>
      </c>
      <c r="Q37" s="483">
        <f>580/3.4528</f>
        <v>167.97961075069509</v>
      </c>
      <c r="R37" s="483">
        <f>369.84/3.4528</f>
        <v>107.11306765523632</v>
      </c>
      <c r="S37" s="484">
        <f>396.2/3.4528</f>
        <v>114.74745134383689</v>
      </c>
      <c r="T37" s="483">
        <f>1538.7/3.4528</f>
        <v>445.63832252085268</v>
      </c>
      <c r="U37" s="484">
        <f>1524.2/3.4528</f>
        <v>441.43883225208532</v>
      </c>
      <c r="V37" s="483">
        <f>1141.41786/3.4528</f>
        <v>330.57746177015758</v>
      </c>
      <c r="W37" s="483">
        <f>(W38*W39)/1000</f>
        <v>48.547450000000005</v>
      </c>
    </row>
    <row r="38" spans="1:23" s="463" customFormat="1">
      <c r="A38" s="768"/>
      <c r="B38" s="770"/>
      <c r="C38" s="768"/>
      <c r="D38" s="770"/>
      <c r="E38" s="776"/>
      <c r="F38" s="774" t="s">
        <v>383</v>
      </c>
      <c r="G38" s="775"/>
      <c r="H38" s="478">
        <v>4</v>
      </c>
      <c r="I38" s="478">
        <v>7</v>
      </c>
      <c r="J38" s="477">
        <v>20</v>
      </c>
      <c r="K38" s="477">
        <v>19</v>
      </c>
      <c r="L38" s="477">
        <v>32</v>
      </c>
      <c r="M38" s="479">
        <v>44</v>
      </c>
      <c r="N38" s="477">
        <v>22</v>
      </c>
      <c r="O38" s="477">
        <v>25</v>
      </c>
      <c r="P38" s="469">
        <v>22</v>
      </c>
      <c r="Q38" s="469">
        <v>30</v>
      </c>
      <c r="R38" s="469">
        <v>17</v>
      </c>
      <c r="S38" s="464">
        <v>16</v>
      </c>
      <c r="T38" s="469">
        <v>66</v>
      </c>
      <c r="U38" s="464">
        <v>90</v>
      </c>
      <c r="V38" s="494">
        <v>66</v>
      </c>
      <c r="W38" s="469">
        <v>7</v>
      </c>
    </row>
    <row r="39" spans="1:23" s="463" customFormat="1">
      <c r="A39" s="771"/>
      <c r="B39" s="773"/>
      <c r="C39" s="771"/>
      <c r="D39" s="773"/>
      <c r="E39" s="758"/>
      <c r="F39" s="774" t="s">
        <v>553</v>
      </c>
      <c r="G39" s="775"/>
      <c r="H39" s="480">
        <v>20225</v>
      </c>
      <c r="I39" s="495">
        <v>6085.71</v>
      </c>
      <c r="J39" s="482">
        <v>10130</v>
      </c>
      <c r="K39" s="477">
        <v>8836.7999999999993</v>
      </c>
      <c r="L39" s="482">
        <v>10853.125</v>
      </c>
      <c r="M39" s="497">
        <v>11461.4</v>
      </c>
      <c r="N39" s="482">
        <v>11263.64</v>
      </c>
      <c r="O39" s="482">
        <v>12496</v>
      </c>
      <c r="P39" s="483">
        <v>17440.91</v>
      </c>
      <c r="Q39" s="483">
        <f>19333.33/3.4528</f>
        <v>5599.3193929564422</v>
      </c>
      <c r="R39" s="483">
        <f>21755.29/3.4528</f>
        <v>6300.7674930491203</v>
      </c>
      <c r="S39" s="484">
        <f>24761.13/3.4528</f>
        <v>7171.3189295644124</v>
      </c>
      <c r="T39" s="483">
        <f>23314.1/3.4528</f>
        <v>6752.2300741427243</v>
      </c>
      <c r="U39" s="464">
        <f>16935.5/3.4528</f>
        <v>4904.8598239110288</v>
      </c>
      <c r="V39" s="483">
        <f>17294.21/3.4528</f>
        <v>5008.749420759963</v>
      </c>
      <c r="W39" s="483">
        <v>6935.35</v>
      </c>
    </row>
    <row r="40" spans="1:23" s="463" customFormat="1">
      <c r="A40" s="765" t="s">
        <v>386</v>
      </c>
      <c r="B40" s="766"/>
      <c r="C40" s="766"/>
      <c r="D40" s="766"/>
      <c r="E40" s="767"/>
      <c r="F40" s="774" t="s">
        <v>552</v>
      </c>
      <c r="G40" s="775"/>
      <c r="H40" s="478">
        <v>214.8</v>
      </c>
      <c r="I40" s="478">
        <v>882.3</v>
      </c>
      <c r="J40" s="477">
        <v>1603.3</v>
      </c>
      <c r="K40" s="477">
        <v>2466.1999999999998</v>
      </c>
      <c r="L40" s="477">
        <v>4928.7</v>
      </c>
      <c r="M40" s="479">
        <v>7376.2</v>
      </c>
      <c r="N40" s="482">
        <v>10604.8</v>
      </c>
      <c r="O40" s="477">
        <v>15528.7</v>
      </c>
      <c r="P40" s="469">
        <v>19884.900000000001</v>
      </c>
      <c r="Q40" s="483">
        <f>23104.5/3.4528</f>
        <v>6691.5257182576461</v>
      </c>
      <c r="R40" s="483">
        <f>19155.118/3.4528</f>
        <v>5547.7056302131605</v>
      </c>
      <c r="S40" s="484">
        <f>19844.04/3.4528</f>
        <v>5747.2312326227993</v>
      </c>
      <c r="T40" s="483">
        <f>25500.4/3.4528</f>
        <v>7385.4263206672849</v>
      </c>
      <c r="U40" s="484">
        <f>26035.1/3.4528</f>
        <v>7540.2861445783128</v>
      </c>
      <c r="V40" s="483">
        <f>26871.232/3.4528</f>
        <v>7782.4467099165895</v>
      </c>
      <c r="W40" s="469">
        <v>8073.4589999999998</v>
      </c>
    </row>
    <row r="41" spans="1:23" s="463" customFormat="1">
      <c r="A41" s="768"/>
      <c r="B41" s="769"/>
      <c r="C41" s="769"/>
      <c r="D41" s="769"/>
      <c r="E41" s="770"/>
      <c r="F41" s="774" t="s">
        <v>383</v>
      </c>
      <c r="G41" s="775"/>
      <c r="H41" s="478">
        <v>95</v>
      </c>
      <c r="I41" s="478">
        <v>384</v>
      </c>
      <c r="J41" s="477">
        <v>679</v>
      </c>
      <c r="K41" s="477">
        <v>1090</v>
      </c>
      <c r="L41" s="477">
        <v>1643</v>
      </c>
      <c r="M41" s="479">
        <v>2292</v>
      </c>
      <c r="N41" s="477">
        <v>2997</v>
      </c>
      <c r="O41" s="477">
        <v>3799</v>
      </c>
      <c r="P41" s="469">
        <v>4563</v>
      </c>
      <c r="Q41" s="469">
        <v>5123</v>
      </c>
      <c r="R41" s="469">
        <v>5407</v>
      </c>
      <c r="S41" s="464">
        <v>5591</v>
      </c>
      <c r="T41" s="469">
        <v>5702</v>
      </c>
      <c r="U41" s="464">
        <v>5770</v>
      </c>
      <c r="V41" s="469">
        <v>5917</v>
      </c>
      <c r="W41" s="469">
        <v>6026</v>
      </c>
    </row>
    <row r="42" spans="1:23" s="463" customFormat="1">
      <c r="A42" s="768"/>
      <c r="B42" s="769"/>
      <c r="C42" s="769"/>
      <c r="D42" s="769"/>
      <c r="E42" s="770"/>
      <c r="F42" s="774" t="s">
        <v>387</v>
      </c>
      <c r="G42" s="775"/>
      <c r="H42" s="478">
        <v>1065</v>
      </c>
      <c r="I42" s="478">
        <v>4655</v>
      </c>
      <c r="J42" s="477">
        <v>8038</v>
      </c>
      <c r="K42" s="477">
        <v>12695</v>
      </c>
      <c r="L42" s="477">
        <v>19302</v>
      </c>
      <c r="M42" s="479">
        <v>26223</v>
      </c>
      <c r="N42" s="477">
        <v>34895</v>
      </c>
      <c r="O42" s="477">
        <v>44162</v>
      </c>
      <c r="P42" s="469">
        <v>53373</v>
      </c>
      <c r="Q42" s="469">
        <v>59875</v>
      </c>
      <c r="R42" s="469">
        <v>63789</v>
      </c>
      <c r="S42" s="464">
        <v>65611</v>
      </c>
      <c r="T42" s="469">
        <v>66720</v>
      </c>
      <c r="U42" s="464">
        <v>67808</v>
      </c>
      <c r="V42" s="469">
        <v>69759</v>
      </c>
      <c r="W42" s="469">
        <v>71785</v>
      </c>
    </row>
    <row r="43" spans="1:23" s="463" customFormat="1">
      <c r="A43" s="771"/>
      <c r="B43" s="772"/>
      <c r="C43" s="772"/>
      <c r="D43" s="772"/>
      <c r="E43" s="773"/>
      <c r="F43" s="774" t="s">
        <v>553</v>
      </c>
      <c r="G43" s="775"/>
      <c r="H43" s="478">
        <v>201.69</v>
      </c>
      <c r="I43" s="478">
        <v>189.54</v>
      </c>
      <c r="J43" s="487">
        <v>199.47</v>
      </c>
      <c r="K43" s="487">
        <v>194.3</v>
      </c>
      <c r="L43" s="487">
        <v>255.35</v>
      </c>
      <c r="M43" s="488">
        <v>281.29000000000002</v>
      </c>
      <c r="N43" s="487">
        <v>303.89999999999998</v>
      </c>
      <c r="O43" s="487">
        <v>351.63</v>
      </c>
      <c r="P43" s="469">
        <v>372.56</v>
      </c>
      <c r="Q43" s="483">
        <f>385.88/3.4528</f>
        <v>111.75857275254866</v>
      </c>
      <c r="R43" s="483">
        <f>300.29/3.4528</f>
        <v>86.969995366079715</v>
      </c>
      <c r="S43" s="484">
        <f>302.45/3.4528</f>
        <v>87.59557460611677</v>
      </c>
      <c r="T43" s="483">
        <f>382.2/3.4528</f>
        <v>110.69277108433735</v>
      </c>
      <c r="U43" s="484">
        <f>383.95/3.4528</f>
        <v>111.19960611677479</v>
      </c>
      <c r="V43" s="483">
        <f>385.2009/3.4528</f>
        <v>111.56189179796108</v>
      </c>
      <c r="W43" s="469">
        <v>112.47</v>
      </c>
    </row>
    <row r="44" spans="1:23" s="463" customFormat="1" ht="12.75" customHeight="1">
      <c r="A44" s="765" t="s">
        <v>358</v>
      </c>
      <c r="B44" s="766"/>
      <c r="C44" s="766"/>
      <c r="D44" s="766"/>
      <c r="E44" s="767"/>
      <c r="F44" s="774" t="s">
        <v>552</v>
      </c>
      <c r="G44" s="775"/>
      <c r="H44" s="478">
        <v>47.3</v>
      </c>
      <c r="I44" s="478">
        <v>211</v>
      </c>
      <c r="J44" s="482">
        <v>344.5</v>
      </c>
      <c r="K44" s="482">
        <v>500.2</v>
      </c>
      <c r="L44" s="482">
        <v>709.8</v>
      </c>
      <c r="M44" s="497">
        <v>873.9</v>
      </c>
      <c r="N44" s="482">
        <v>1083</v>
      </c>
      <c r="O44" s="482">
        <v>1355.5</v>
      </c>
      <c r="P44" s="469">
        <v>1550.5</v>
      </c>
      <c r="Q44" s="483">
        <f>1823.2/3.4528</f>
        <v>528.03521779425398</v>
      </c>
      <c r="R44" s="483">
        <f>1497.275/3.4528</f>
        <v>433.64081325301208</v>
      </c>
      <c r="S44" s="484">
        <f>1556.99/3.4528</f>
        <v>450.93547265987024</v>
      </c>
      <c r="T44" s="483">
        <f>1999.3/3.4528</f>
        <v>579.03730305838735</v>
      </c>
      <c r="U44" s="484">
        <f>1932.4/3.4528</f>
        <v>559.66172381835042</v>
      </c>
      <c r="V44" s="483">
        <f>1906.567/3.4528</f>
        <v>552.17996987951813</v>
      </c>
      <c r="W44" s="469">
        <v>557.88900000000001</v>
      </c>
    </row>
    <row r="45" spans="1:23" s="463" customFormat="1">
      <c r="A45" s="768"/>
      <c r="B45" s="769"/>
      <c r="C45" s="769"/>
      <c r="D45" s="769"/>
      <c r="E45" s="770"/>
      <c r="F45" s="774" t="s">
        <v>383</v>
      </c>
      <c r="G45" s="775"/>
      <c r="H45" s="478">
        <v>20</v>
      </c>
      <c r="I45" s="478">
        <v>74</v>
      </c>
      <c r="J45" s="477">
        <v>135</v>
      </c>
      <c r="K45" s="477">
        <v>210</v>
      </c>
      <c r="L45" s="477">
        <v>304</v>
      </c>
      <c r="M45" s="479">
        <v>369</v>
      </c>
      <c r="N45" s="477">
        <v>396</v>
      </c>
      <c r="O45" s="477">
        <v>433</v>
      </c>
      <c r="P45" s="469">
        <v>456</v>
      </c>
      <c r="Q45" s="469">
        <v>491</v>
      </c>
      <c r="R45" s="469">
        <v>528</v>
      </c>
      <c r="S45" s="464">
        <v>518</v>
      </c>
      <c r="T45" s="469">
        <v>497</v>
      </c>
      <c r="U45" s="464">
        <v>501</v>
      </c>
      <c r="V45" s="469">
        <v>499</v>
      </c>
      <c r="W45" s="469">
        <v>465</v>
      </c>
    </row>
    <row r="46" spans="1:23" s="463" customFormat="1">
      <c r="A46" s="768"/>
      <c r="B46" s="769"/>
      <c r="C46" s="769"/>
      <c r="D46" s="769"/>
      <c r="E46" s="770"/>
      <c r="F46" s="774" t="s">
        <v>387</v>
      </c>
      <c r="G46" s="775"/>
      <c r="H46" s="478">
        <v>223</v>
      </c>
      <c r="I46" s="478">
        <v>1055</v>
      </c>
      <c r="J46" s="477">
        <v>1828</v>
      </c>
      <c r="K46" s="477">
        <v>2689</v>
      </c>
      <c r="L46" s="477">
        <v>3604</v>
      </c>
      <c r="M46" s="479">
        <v>4155</v>
      </c>
      <c r="N46" s="477">
        <v>4487</v>
      </c>
      <c r="O46" s="477">
        <v>4936</v>
      </c>
      <c r="P46" s="469">
        <v>5130</v>
      </c>
      <c r="Q46" s="469">
        <v>5473</v>
      </c>
      <c r="R46" s="469">
        <v>5842</v>
      </c>
      <c r="S46" s="464">
        <v>5759</v>
      </c>
      <c r="T46" s="469">
        <v>5511</v>
      </c>
      <c r="U46" s="464">
        <v>5443</v>
      </c>
      <c r="V46" s="469">
        <v>5365</v>
      </c>
      <c r="W46" s="469">
        <v>5370</v>
      </c>
    </row>
    <row r="47" spans="1:23" s="463" customFormat="1">
      <c r="A47" s="771"/>
      <c r="B47" s="772"/>
      <c r="C47" s="772"/>
      <c r="D47" s="772"/>
      <c r="E47" s="773"/>
      <c r="F47" s="774" t="s">
        <v>553</v>
      </c>
      <c r="G47" s="775"/>
      <c r="H47" s="478">
        <v>212.1</v>
      </c>
      <c r="I47" s="478">
        <v>200</v>
      </c>
      <c r="J47" s="487">
        <v>188.51</v>
      </c>
      <c r="K47" s="487">
        <v>186</v>
      </c>
      <c r="L47" s="487">
        <v>196.95</v>
      </c>
      <c r="M47" s="488">
        <v>210.32</v>
      </c>
      <c r="N47" s="487">
        <v>241.34</v>
      </c>
      <c r="O47" s="487">
        <v>274.62</v>
      </c>
      <c r="P47" s="469">
        <v>302.24</v>
      </c>
      <c r="Q47" s="483">
        <f>333.13/3.4528</f>
        <v>96.481116774791474</v>
      </c>
      <c r="R47" s="483">
        <f>256.29/3.4528</f>
        <v>74.22671455050974</v>
      </c>
      <c r="S47" s="484">
        <f>270.358/3.4528</f>
        <v>78.301088971269692</v>
      </c>
      <c r="T47" s="483">
        <f>362.78/3.4528</f>
        <v>105.06835032437442</v>
      </c>
      <c r="U47" s="484">
        <f>355.02/3.4528</f>
        <v>102.82089898053754</v>
      </c>
      <c r="V47" s="483">
        <f>355.369/3.4528</f>
        <v>102.92197636700649</v>
      </c>
      <c r="W47" s="469">
        <v>103.89</v>
      </c>
    </row>
    <row r="48" spans="1:23" s="463" customFormat="1" ht="12.75" customHeight="1">
      <c r="A48" s="765" t="s">
        <v>360</v>
      </c>
      <c r="B48" s="766"/>
      <c r="C48" s="766"/>
      <c r="D48" s="766"/>
      <c r="E48" s="767"/>
      <c r="F48" s="774" t="s">
        <v>552</v>
      </c>
      <c r="G48" s="775"/>
      <c r="H48" s="478">
        <v>2612.4</v>
      </c>
      <c r="I48" s="478">
        <v>4767.6000000000004</v>
      </c>
      <c r="J48" s="477">
        <v>6201</v>
      </c>
      <c r="K48" s="477">
        <v>7265.2</v>
      </c>
      <c r="L48" s="477">
        <v>7273.9</v>
      </c>
      <c r="M48" s="479">
        <v>7149.3</v>
      </c>
      <c r="N48" s="477">
        <v>8141.4</v>
      </c>
      <c r="O48" s="477">
        <v>8168.9</v>
      </c>
      <c r="P48" s="469">
        <v>8780.7000000000007</v>
      </c>
      <c r="Q48" s="483">
        <f>6574.9/3.4528</f>
        <v>1904.2226598702503</v>
      </c>
      <c r="R48" s="483">
        <f>6591.021/3.4528</f>
        <v>1908.891624189064</v>
      </c>
      <c r="S48" s="484">
        <f>4667.5/3.4528</f>
        <v>1351.8014365152919</v>
      </c>
      <c r="T48" s="483">
        <f>7084.5/3.4528</f>
        <v>2051.8130213160334</v>
      </c>
      <c r="U48" s="484">
        <f>5667.5/3.4528</f>
        <v>1641.4214550509732</v>
      </c>
      <c r="V48" s="483">
        <f>7705.8/3.4528</f>
        <v>2231.7539388322521</v>
      </c>
      <c r="W48" s="469">
        <v>1671.877</v>
      </c>
    </row>
    <row r="49" spans="1:23" s="463" customFormat="1">
      <c r="A49" s="768"/>
      <c r="B49" s="769"/>
      <c r="C49" s="769"/>
      <c r="D49" s="769"/>
      <c r="E49" s="770"/>
      <c r="F49" s="774" t="s">
        <v>388</v>
      </c>
      <c r="G49" s="775"/>
      <c r="H49" s="478">
        <v>32</v>
      </c>
      <c r="I49" s="478">
        <v>54</v>
      </c>
      <c r="J49" s="477">
        <v>71</v>
      </c>
      <c r="K49" s="477">
        <v>87</v>
      </c>
      <c r="L49" s="477">
        <v>82</v>
      </c>
      <c r="M49" s="479">
        <v>72</v>
      </c>
      <c r="N49" s="477">
        <v>77</v>
      </c>
      <c r="O49" s="477">
        <v>69</v>
      </c>
      <c r="P49" s="469">
        <v>65</v>
      </c>
      <c r="Q49" s="469">
        <v>48</v>
      </c>
      <c r="R49" s="469">
        <v>51</v>
      </c>
      <c r="S49" s="464">
        <v>39</v>
      </c>
      <c r="T49" s="469">
        <v>54</v>
      </c>
      <c r="U49" s="464">
        <v>40</v>
      </c>
      <c r="V49" s="469">
        <v>52</v>
      </c>
      <c r="W49" s="469">
        <v>39</v>
      </c>
    </row>
    <row r="50" spans="1:23" s="463" customFormat="1">
      <c r="A50" s="771"/>
      <c r="B50" s="772"/>
      <c r="C50" s="772"/>
      <c r="D50" s="772"/>
      <c r="E50" s="773"/>
      <c r="F50" s="774" t="s">
        <v>553</v>
      </c>
      <c r="G50" s="775"/>
      <c r="H50" s="495">
        <v>81637.5</v>
      </c>
      <c r="I50" s="495">
        <v>88288.8</v>
      </c>
      <c r="J50" s="482">
        <v>87338</v>
      </c>
      <c r="K50" s="482">
        <v>83508.100000000006</v>
      </c>
      <c r="L50" s="482">
        <v>88706.097999999998</v>
      </c>
      <c r="M50" s="497">
        <v>99295.8</v>
      </c>
      <c r="N50" s="482">
        <v>105732</v>
      </c>
      <c r="O50" s="482">
        <v>118389.86</v>
      </c>
      <c r="P50" s="483">
        <v>135087.69</v>
      </c>
      <c r="Q50" s="483">
        <f>136977.08/3.4528</f>
        <v>39671.304448563482</v>
      </c>
      <c r="R50" s="483">
        <f>129235.71/3.4528</f>
        <v>37429.248725671925</v>
      </c>
      <c r="S50" s="484">
        <f>119679.49/3.4528</f>
        <v>34661.576112140872</v>
      </c>
      <c r="T50" s="483">
        <f>131193.5/3.4528</f>
        <v>37996.263901760889</v>
      </c>
      <c r="U50" s="484">
        <f>141687.5/3.4528</f>
        <v>41035.536376274329</v>
      </c>
      <c r="V50" s="483">
        <f>148188.46/3.4528</f>
        <v>42918.344531974049</v>
      </c>
      <c r="W50" s="469">
        <v>42868.6</v>
      </c>
    </row>
    <row r="51" spans="1:23" s="463" customFormat="1">
      <c r="A51" s="757" t="s">
        <v>389</v>
      </c>
      <c r="B51" s="757"/>
      <c r="C51" s="757"/>
      <c r="D51" s="757"/>
      <c r="E51" s="757"/>
      <c r="F51" s="759" t="s">
        <v>512</v>
      </c>
      <c r="G51" s="759"/>
      <c r="H51" s="499"/>
      <c r="I51" s="499"/>
      <c r="J51" s="761">
        <f t="shared" ref="J51:V51" si="3">J28+J31+J34+J37+J40+J44+J48</f>
        <v>8891.7999999999993</v>
      </c>
      <c r="K51" s="761">
        <f t="shared" si="3"/>
        <v>10896.099999999999</v>
      </c>
      <c r="L51" s="761">
        <f t="shared" si="3"/>
        <v>13913.2</v>
      </c>
      <c r="M51" s="763">
        <f t="shared" si="3"/>
        <v>16738.3</v>
      </c>
      <c r="N51" s="748">
        <f t="shared" si="3"/>
        <v>20754.400000000001</v>
      </c>
      <c r="O51" s="748">
        <f t="shared" si="3"/>
        <v>26144.9</v>
      </c>
      <c r="P51" s="748">
        <f t="shared" si="3"/>
        <v>31764.600000000002</v>
      </c>
      <c r="Q51" s="748">
        <f t="shared" si="3"/>
        <v>9784.7833642261357</v>
      </c>
      <c r="R51" s="748">
        <f t="shared" si="3"/>
        <v>8411.6083178869339</v>
      </c>
      <c r="S51" s="749">
        <f t="shared" si="3"/>
        <v>7939.391218721039</v>
      </c>
      <c r="T51" s="748">
        <f t="shared" si="3"/>
        <v>10978.162650602409</v>
      </c>
      <c r="U51" s="749">
        <f t="shared" si="3"/>
        <v>10770.910565338276</v>
      </c>
      <c r="V51" s="749">
        <f t="shared" si="3"/>
        <v>11355.196553521779</v>
      </c>
      <c r="W51" s="748">
        <f>W28+W31+W34+W37+W40+W44+W48</f>
        <v>10832.403489999999</v>
      </c>
    </row>
    <row r="52" spans="1:23" s="463" customFormat="1" ht="11.25" customHeight="1">
      <c r="A52" s="758"/>
      <c r="B52" s="758"/>
      <c r="C52" s="758"/>
      <c r="D52" s="758"/>
      <c r="E52" s="758"/>
      <c r="F52" s="760"/>
      <c r="G52" s="760"/>
      <c r="H52" s="500">
        <v>3079.7</v>
      </c>
      <c r="I52" s="500">
        <v>6168.7</v>
      </c>
      <c r="J52" s="762"/>
      <c r="K52" s="762"/>
      <c r="L52" s="762"/>
      <c r="M52" s="764"/>
      <c r="N52" s="748"/>
      <c r="O52" s="748"/>
      <c r="P52" s="748"/>
      <c r="Q52" s="748"/>
      <c r="R52" s="748"/>
      <c r="S52" s="749"/>
      <c r="T52" s="748"/>
      <c r="U52" s="749"/>
      <c r="V52" s="749"/>
      <c r="W52" s="748"/>
    </row>
    <row r="53" spans="1:23" s="463" customFormat="1" ht="27" customHeight="1" thickBot="1">
      <c r="A53" s="750" t="s">
        <v>390</v>
      </c>
      <c r="B53" s="750"/>
      <c r="C53" s="750"/>
      <c r="D53" s="750"/>
      <c r="E53" s="750"/>
      <c r="F53" s="751" t="s">
        <v>512</v>
      </c>
      <c r="G53" s="751"/>
      <c r="H53" s="501"/>
      <c r="I53" s="501"/>
      <c r="J53" s="502">
        <v>0</v>
      </c>
      <c r="K53" s="502">
        <v>0</v>
      </c>
      <c r="L53" s="502">
        <v>0</v>
      </c>
      <c r="M53" s="503">
        <v>0</v>
      </c>
      <c r="N53" s="504">
        <v>1643.9</v>
      </c>
      <c r="O53" s="504">
        <v>5224.2</v>
      </c>
      <c r="P53" s="505">
        <v>4421.2</v>
      </c>
      <c r="Q53" s="505">
        <v>2980.6</v>
      </c>
      <c r="R53" s="506">
        <v>0</v>
      </c>
      <c r="S53" s="507">
        <v>0</v>
      </c>
      <c r="T53" s="508">
        <v>0</v>
      </c>
      <c r="U53" s="507">
        <v>0</v>
      </c>
      <c r="V53" s="508">
        <v>0</v>
      </c>
      <c r="W53" s="505">
        <v>0</v>
      </c>
    </row>
    <row r="54" spans="1:23" s="463" customFormat="1" ht="25.5" customHeight="1" thickBot="1">
      <c r="A54" s="752" t="s">
        <v>391</v>
      </c>
      <c r="B54" s="753"/>
      <c r="C54" s="753"/>
      <c r="D54" s="753"/>
      <c r="E54" s="754"/>
      <c r="F54" s="755" t="s">
        <v>512</v>
      </c>
      <c r="G54" s="756"/>
      <c r="H54" s="509">
        <v>9415.1</v>
      </c>
      <c r="I54" s="509">
        <v>12466.1</v>
      </c>
      <c r="J54" s="510">
        <f t="shared" ref="J54:W54" si="4">J51+J16+J53</f>
        <v>16039.099999999999</v>
      </c>
      <c r="K54" s="510">
        <f t="shared" si="4"/>
        <v>18322.8</v>
      </c>
      <c r="L54" s="510">
        <f t="shared" si="4"/>
        <v>21216.5</v>
      </c>
      <c r="M54" s="510">
        <f t="shared" si="4"/>
        <v>25533.599999999999</v>
      </c>
      <c r="N54" s="510">
        <f t="shared" si="4"/>
        <v>33592.700000000004</v>
      </c>
      <c r="O54" s="511">
        <f t="shared" si="4"/>
        <v>44198.1</v>
      </c>
      <c r="P54" s="511">
        <f t="shared" si="4"/>
        <v>52971.7</v>
      </c>
      <c r="Q54" s="510">
        <f t="shared" si="4"/>
        <v>17574.147265987023</v>
      </c>
      <c r="R54" s="510">
        <f t="shared" si="4"/>
        <v>12512.447347080633</v>
      </c>
      <c r="S54" s="512">
        <f t="shared" si="4"/>
        <v>12765.503359592218</v>
      </c>
      <c r="T54" s="513">
        <f t="shared" si="4"/>
        <v>15536.52108433735</v>
      </c>
      <c r="U54" s="512">
        <f t="shared" si="4"/>
        <v>16805.809777571827</v>
      </c>
      <c r="V54" s="512">
        <f t="shared" si="4"/>
        <v>16562.43655352178</v>
      </c>
      <c r="W54" s="513">
        <f t="shared" si="4"/>
        <v>16834.91649</v>
      </c>
    </row>
    <row r="55" spans="1:23">
      <c r="A55" s="150"/>
      <c r="B55" s="150"/>
      <c r="C55" s="150"/>
      <c r="D55" s="150"/>
      <c r="E55" s="150"/>
      <c r="F55" s="462"/>
      <c r="G55" s="462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</row>
    <row r="56" spans="1:23">
      <c r="A56" s="150"/>
      <c r="B56" s="150"/>
      <c r="C56" s="150"/>
      <c r="D56" s="150"/>
      <c r="E56" s="150"/>
      <c r="F56" s="462"/>
      <c r="G56" s="462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</row>
    <row r="57" spans="1:23">
      <c r="A57" s="150"/>
      <c r="B57" s="150"/>
      <c r="C57" s="150"/>
      <c r="D57" s="150"/>
      <c r="E57" s="150"/>
      <c r="F57" s="462"/>
      <c r="G57" s="462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</row>
    <row r="58" spans="1:23">
      <c r="A58" s="150"/>
      <c r="B58" s="150"/>
      <c r="C58" s="150"/>
      <c r="D58" s="150"/>
      <c r="E58" s="150"/>
      <c r="F58" s="462"/>
      <c r="G58" s="462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</row>
  </sheetData>
  <mergeCells count="80">
    <mergeCell ref="A3:W4"/>
    <mergeCell ref="W51:W52"/>
    <mergeCell ref="A5:G6"/>
    <mergeCell ref="A8:B10"/>
    <mergeCell ref="C8:G8"/>
    <mergeCell ref="C9:G9"/>
    <mergeCell ref="C10:G10"/>
    <mergeCell ref="I5:W5"/>
    <mergeCell ref="A11:B13"/>
    <mergeCell ref="C11:G11"/>
    <mergeCell ref="C12:G12"/>
    <mergeCell ref="C13:G13"/>
    <mergeCell ref="A14:B16"/>
    <mergeCell ref="C14:G14"/>
    <mergeCell ref="C15:G15"/>
    <mergeCell ref="C16:G16"/>
    <mergeCell ref="A18:B20"/>
    <mergeCell ref="C18:G18"/>
    <mergeCell ref="C19:G19"/>
    <mergeCell ref="C20:G20"/>
    <mergeCell ref="A21:B23"/>
    <mergeCell ref="C21:G21"/>
    <mergeCell ref="C22:G22"/>
    <mergeCell ref="C23:G23"/>
    <mergeCell ref="A24:B26"/>
    <mergeCell ref="C24:G24"/>
    <mergeCell ref="C25:G25"/>
    <mergeCell ref="C26:G26"/>
    <mergeCell ref="A28:B39"/>
    <mergeCell ref="C28:D33"/>
    <mergeCell ref="E28:E30"/>
    <mergeCell ref="F28:G28"/>
    <mergeCell ref="F29:G29"/>
    <mergeCell ref="F30:G30"/>
    <mergeCell ref="E31:E33"/>
    <mergeCell ref="F31:G31"/>
    <mergeCell ref="F32:G32"/>
    <mergeCell ref="F33:G33"/>
    <mergeCell ref="C34:D39"/>
    <mergeCell ref="E34:E36"/>
    <mergeCell ref="F34:G34"/>
    <mergeCell ref="F35:G35"/>
    <mergeCell ref="F36:G36"/>
    <mergeCell ref="E37:E39"/>
    <mergeCell ref="A48:E50"/>
    <mergeCell ref="F48:G48"/>
    <mergeCell ref="F49:G49"/>
    <mergeCell ref="F50:G50"/>
    <mergeCell ref="F37:G37"/>
    <mergeCell ref="F38:G38"/>
    <mergeCell ref="F39:G39"/>
    <mergeCell ref="A40:E43"/>
    <mergeCell ref="F40:G40"/>
    <mergeCell ref="F41:G41"/>
    <mergeCell ref="F42:G42"/>
    <mergeCell ref="F43:G43"/>
    <mergeCell ref="A44:E47"/>
    <mergeCell ref="F44:G44"/>
    <mergeCell ref="F45:G45"/>
    <mergeCell ref="F46:G46"/>
    <mergeCell ref="F47:G47"/>
    <mergeCell ref="A54:E54"/>
    <mergeCell ref="F54:G54"/>
    <mergeCell ref="N51:N52"/>
    <mergeCell ref="O51:O52"/>
    <mergeCell ref="P51:P52"/>
    <mergeCell ref="A51:E52"/>
    <mergeCell ref="F51:G52"/>
    <mergeCell ref="J51:J52"/>
    <mergeCell ref="K51:K52"/>
    <mergeCell ref="L51:L52"/>
    <mergeCell ref="M51:M52"/>
    <mergeCell ref="T51:T52"/>
    <mergeCell ref="U51:U52"/>
    <mergeCell ref="V51:V52"/>
    <mergeCell ref="A53:E53"/>
    <mergeCell ref="F53:G53"/>
    <mergeCell ref="Q51:Q52"/>
    <mergeCell ref="R51:R52"/>
    <mergeCell ref="S51:S52"/>
  </mergeCells>
  <hyperlinks>
    <hyperlink ref="A1" location="turinys!A1" display="Grįžti į turinį"/>
  </hyperlinks>
  <pageMargins left="0.27" right="0.24" top="0.98425196850393704" bottom="0.78740157480314965" header="0.51181102362204722" footer="0.51181102362204722"/>
  <pageSetup paperSize="9" scale="95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27"/>
  <sheetViews>
    <sheetView workbookViewId="0">
      <selection activeCell="B27" sqref="B27"/>
    </sheetView>
  </sheetViews>
  <sheetFormatPr defaultRowHeight="12.75"/>
  <cols>
    <col min="1" max="1" width="20.140625" style="21" customWidth="1"/>
    <col min="2" max="2" width="20.5703125" style="21" customWidth="1"/>
    <col min="3" max="7" width="18.140625" style="21" customWidth="1"/>
    <col min="8" max="256" width="9.140625" style="21"/>
    <col min="257" max="257" width="22.7109375" style="21" customWidth="1"/>
    <col min="258" max="258" width="5.42578125" style="21" customWidth="1"/>
    <col min="259" max="259" width="9.5703125" style="21" bestFit="1" customWidth="1"/>
    <col min="260" max="512" width="9.140625" style="21"/>
    <col min="513" max="513" width="22.7109375" style="21" customWidth="1"/>
    <col min="514" max="514" width="5.42578125" style="21" customWidth="1"/>
    <col min="515" max="515" width="9.5703125" style="21" bestFit="1" customWidth="1"/>
    <col min="516" max="768" width="9.140625" style="21"/>
    <col min="769" max="769" width="22.7109375" style="21" customWidth="1"/>
    <col min="770" max="770" width="5.42578125" style="21" customWidth="1"/>
    <col min="771" max="771" width="9.5703125" style="21" bestFit="1" customWidth="1"/>
    <col min="772" max="1024" width="9.140625" style="21"/>
    <col min="1025" max="1025" width="22.7109375" style="21" customWidth="1"/>
    <col min="1026" max="1026" width="5.42578125" style="21" customWidth="1"/>
    <col min="1027" max="1027" width="9.5703125" style="21" bestFit="1" customWidth="1"/>
    <col min="1028" max="1280" width="9.140625" style="21"/>
    <col min="1281" max="1281" width="22.7109375" style="21" customWidth="1"/>
    <col min="1282" max="1282" width="5.42578125" style="21" customWidth="1"/>
    <col min="1283" max="1283" width="9.5703125" style="21" bestFit="1" customWidth="1"/>
    <col min="1284" max="1536" width="9.140625" style="21"/>
    <col min="1537" max="1537" width="22.7109375" style="21" customWidth="1"/>
    <col min="1538" max="1538" width="5.42578125" style="21" customWidth="1"/>
    <col min="1539" max="1539" width="9.5703125" style="21" bestFit="1" customWidth="1"/>
    <col min="1540" max="1792" width="9.140625" style="21"/>
    <col min="1793" max="1793" width="22.7109375" style="21" customWidth="1"/>
    <col min="1794" max="1794" width="5.42578125" style="21" customWidth="1"/>
    <col min="1795" max="1795" width="9.5703125" style="21" bestFit="1" customWidth="1"/>
    <col min="1796" max="2048" width="9.140625" style="21"/>
    <col min="2049" max="2049" width="22.7109375" style="21" customWidth="1"/>
    <col min="2050" max="2050" width="5.42578125" style="21" customWidth="1"/>
    <col min="2051" max="2051" width="9.5703125" style="21" bestFit="1" customWidth="1"/>
    <col min="2052" max="2304" width="9.140625" style="21"/>
    <col min="2305" max="2305" width="22.7109375" style="21" customWidth="1"/>
    <col min="2306" max="2306" width="5.42578125" style="21" customWidth="1"/>
    <col min="2307" max="2307" width="9.5703125" style="21" bestFit="1" customWidth="1"/>
    <col min="2308" max="2560" width="9.140625" style="21"/>
    <col min="2561" max="2561" width="22.7109375" style="21" customWidth="1"/>
    <col min="2562" max="2562" width="5.42578125" style="21" customWidth="1"/>
    <col min="2563" max="2563" width="9.5703125" style="21" bestFit="1" customWidth="1"/>
    <col min="2564" max="2816" width="9.140625" style="21"/>
    <col min="2817" max="2817" width="22.7109375" style="21" customWidth="1"/>
    <col min="2818" max="2818" width="5.42578125" style="21" customWidth="1"/>
    <col min="2819" max="2819" width="9.5703125" style="21" bestFit="1" customWidth="1"/>
    <col min="2820" max="3072" width="9.140625" style="21"/>
    <col min="3073" max="3073" width="22.7109375" style="21" customWidth="1"/>
    <col min="3074" max="3074" width="5.42578125" style="21" customWidth="1"/>
    <col min="3075" max="3075" width="9.5703125" style="21" bestFit="1" customWidth="1"/>
    <col min="3076" max="3328" width="9.140625" style="21"/>
    <col min="3329" max="3329" width="22.7109375" style="21" customWidth="1"/>
    <col min="3330" max="3330" width="5.42578125" style="21" customWidth="1"/>
    <col min="3331" max="3331" width="9.5703125" style="21" bestFit="1" customWidth="1"/>
    <col min="3332" max="3584" width="9.140625" style="21"/>
    <col min="3585" max="3585" width="22.7109375" style="21" customWidth="1"/>
    <col min="3586" max="3586" width="5.42578125" style="21" customWidth="1"/>
    <col min="3587" max="3587" width="9.5703125" style="21" bestFit="1" customWidth="1"/>
    <col min="3588" max="3840" width="9.140625" style="21"/>
    <col min="3841" max="3841" width="22.7109375" style="21" customWidth="1"/>
    <col min="3842" max="3842" width="5.42578125" style="21" customWidth="1"/>
    <col min="3843" max="3843" width="9.5703125" style="21" bestFit="1" customWidth="1"/>
    <col min="3844" max="4096" width="9.140625" style="21"/>
    <col min="4097" max="4097" width="22.7109375" style="21" customWidth="1"/>
    <col min="4098" max="4098" width="5.42578125" style="21" customWidth="1"/>
    <col min="4099" max="4099" width="9.5703125" style="21" bestFit="1" customWidth="1"/>
    <col min="4100" max="4352" width="9.140625" style="21"/>
    <col min="4353" max="4353" width="22.7109375" style="21" customWidth="1"/>
    <col min="4354" max="4354" width="5.42578125" style="21" customWidth="1"/>
    <col min="4355" max="4355" width="9.5703125" style="21" bestFit="1" customWidth="1"/>
    <col min="4356" max="4608" width="9.140625" style="21"/>
    <col min="4609" max="4609" width="22.7109375" style="21" customWidth="1"/>
    <col min="4610" max="4610" width="5.42578125" style="21" customWidth="1"/>
    <col min="4611" max="4611" width="9.5703125" style="21" bestFit="1" customWidth="1"/>
    <col min="4612" max="4864" width="9.140625" style="21"/>
    <col min="4865" max="4865" width="22.7109375" style="21" customWidth="1"/>
    <col min="4866" max="4866" width="5.42578125" style="21" customWidth="1"/>
    <col min="4867" max="4867" width="9.5703125" style="21" bestFit="1" customWidth="1"/>
    <col min="4868" max="5120" width="9.140625" style="21"/>
    <col min="5121" max="5121" width="22.7109375" style="21" customWidth="1"/>
    <col min="5122" max="5122" width="5.42578125" style="21" customWidth="1"/>
    <col min="5123" max="5123" width="9.5703125" style="21" bestFit="1" customWidth="1"/>
    <col min="5124" max="5376" width="9.140625" style="21"/>
    <col min="5377" max="5377" width="22.7109375" style="21" customWidth="1"/>
    <col min="5378" max="5378" width="5.42578125" style="21" customWidth="1"/>
    <col min="5379" max="5379" width="9.5703125" style="21" bestFit="1" customWidth="1"/>
    <col min="5380" max="5632" width="9.140625" style="21"/>
    <col min="5633" max="5633" width="22.7109375" style="21" customWidth="1"/>
    <col min="5634" max="5634" width="5.42578125" style="21" customWidth="1"/>
    <col min="5635" max="5635" width="9.5703125" style="21" bestFit="1" customWidth="1"/>
    <col min="5636" max="5888" width="9.140625" style="21"/>
    <col min="5889" max="5889" width="22.7109375" style="21" customWidth="1"/>
    <col min="5890" max="5890" width="5.42578125" style="21" customWidth="1"/>
    <col min="5891" max="5891" width="9.5703125" style="21" bestFit="1" customWidth="1"/>
    <col min="5892" max="6144" width="9.140625" style="21"/>
    <col min="6145" max="6145" width="22.7109375" style="21" customWidth="1"/>
    <col min="6146" max="6146" width="5.42578125" style="21" customWidth="1"/>
    <col min="6147" max="6147" width="9.5703125" style="21" bestFit="1" customWidth="1"/>
    <col min="6148" max="6400" width="9.140625" style="21"/>
    <col min="6401" max="6401" width="22.7109375" style="21" customWidth="1"/>
    <col min="6402" max="6402" width="5.42578125" style="21" customWidth="1"/>
    <col min="6403" max="6403" width="9.5703125" style="21" bestFit="1" customWidth="1"/>
    <col min="6404" max="6656" width="9.140625" style="21"/>
    <col min="6657" max="6657" width="22.7109375" style="21" customWidth="1"/>
    <col min="6658" max="6658" width="5.42578125" style="21" customWidth="1"/>
    <col min="6659" max="6659" width="9.5703125" style="21" bestFit="1" customWidth="1"/>
    <col min="6660" max="6912" width="9.140625" style="21"/>
    <col min="6913" max="6913" width="22.7109375" style="21" customWidth="1"/>
    <col min="6914" max="6914" width="5.42578125" style="21" customWidth="1"/>
    <col min="6915" max="6915" width="9.5703125" style="21" bestFit="1" customWidth="1"/>
    <col min="6916" max="7168" width="9.140625" style="21"/>
    <col min="7169" max="7169" width="22.7109375" style="21" customWidth="1"/>
    <col min="7170" max="7170" width="5.42578125" style="21" customWidth="1"/>
    <col min="7171" max="7171" width="9.5703125" style="21" bestFit="1" customWidth="1"/>
    <col min="7172" max="7424" width="9.140625" style="21"/>
    <col min="7425" max="7425" width="22.7109375" style="21" customWidth="1"/>
    <col min="7426" max="7426" width="5.42578125" style="21" customWidth="1"/>
    <col min="7427" max="7427" width="9.5703125" style="21" bestFit="1" customWidth="1"/>
    <col min="7428" max="7680" width="9.140625" style="21"/>
    <col min="7681" max="7681" width="22.7109375" style="21" customWidth="1"/>
    <col min="7682" max="7682" width="5.42578125" style="21" customWidth="1"/>
    <col min="7683" max="7683" width="9.5703125" style="21" bestFit="1" customWidth="1"/>
    <col min="7684" max="7936" width="9.140625" style="21"/>
    <col min="7937" max="7937" width="22.7109375" style="21" customWidth="1"/>
    <col min="7938" max="7938" width="5.42578125" style="21" customWidth="1"/>
    <col min="7939" max="7939" width="9.5703125" style="21" bestFit="1" customWidth="1"/>
    <col min="7940" max="8192" width="9.140625" style="21"/>
    <col min="8193" max="8193" width="22.7109375" style="21" customWidth="1"/>
    <col min="8194" max="8194" width="5.42578125" style="21" customWidth="1"/>
    <col min="8195" max="8195" width="9.5703125" style="21" bestFit="1" customWidth="1"/>
    <col min="8196" max="8448" width="9.140625" style="21"/>
    <col min="8449" max="8449" width="22.7109375" style="21" customWidth="1"/>
    <col min="8450" max="8450" width="5.42578125" style="21" customWidth="1"/>
    <col min="8451" max="8451" width="9.5703125" style="21" bestFit="1" customWidth="1"/>
    <col min="8452" max="8704" width="9.140625" style="21"/>
    <col min="8705" max="8705" width="22.7109375" style="21" customWidth="1"/>
    <col min="8706" max="8706" width="5.42578125" style="21" customWidth="1"/>
    <col min="8707" max="8707" width="9.5703125" style="21" bestFit="1" customWidth="1"/>
    <col min="8708" max="8960" width="9.140625" style="21"/>
    <col min="8961" max="8961" width="22.7109375" style="21" customWidth="1"/>
    <col min="8962" max="8962" width="5.42578125" style="21" customWidth="1"/>
    <col min="8963" max="8963" width="9.5703125" style="21" bestFit="1" customWidth="1"/>
    <col min="8964" max="9216" width="9.140625" style="21"/>
    <col min="9217" max="9217" width="22.7109375" style="21" customWidth="1"/>
    <col min="9218" max="9218" width="5.42578125" style="21" customWidth="1"/>
    <col min="9219" max="9219" width="9.5703125" style="21" bestFit="1" customWidth="1"/>
    <col min="9220" max="9472" width="9.140625" style="21"/>
    <col min="9473" max="9473" width="22.7109375" style="21" customWidth="1"/>
    <col min="9474" max="9474" width="5.42578125" style="21" customWidth="1"/>
    <col min="9475" max="9475" width="9.5703125" style="21" bestFit="1" customWidth="1"/>
    <col min="9476" max="9728" width="9.140625" style="21"/>
    <col min="9729" max="9729" width="22.7109375" style="21" customWidth="1"/>
    <col min="9730" max="9730" width="5.42578125" style="21" customWidth="1"/>
    <col min="9731" max="9731" width="9.5703125" style="21" bestFit="1" customWidth="1"/>
    <col min="9732" max="9984" width="9.140625" style="21"/>
    <col min="9985" max="9985" width="22.7109375" style="21" customWidth="1"/>
    <col min="9986" max="9986" width="5.42578125" style="21" customWidth="1"/>
    <col min="9987" max="9987" width="9.5703125" style="21" bestFit="1" customWidth="1"/>
    <col min="9988" max="10240" width="9.140625" style="21"/>
    <col min="10241" max="10241" width="22.7109375" style="21" customWidth="1"/>
    <col min="10242" max="10242" width="5.42578125" style="21" customWidth="1"/>
    <col min="10243" max="10243" width="9.5703125" style="21" bestFit="1" customWidth="1"/>
    <col min="10244" max="10496" width="9.140625" style="21"/>
    <col min="10497" max="10497" width="22.7109375" style="21" customWidth="1"/>
    <col min="10498" max="10498" width="5.42578125" style="21" customWidth="1"/>
    <col min="10499" max="10499" width="9.5703125" style="21" bestFit="1" customWidth="1"/>
    <col min="10500" max="10752" width="9.140625" style="21"/>
    <col min="10753" max="10753" width="22.7109375" style="21" customWidth="1"/>
    <col min="10754" max="10754" width="5.42578125" style="21" customWidth="1"/>
    <col min="10755" max="10755" width="9.5703125" style="21" bestFit="1" customWidth="1"/>
    <col min="10756" max="11008" width="9.140625" style="21"/>
    <col min="11009" max="11009" width="22.7109375" style="21" customWidth="1"/>
    <col min="11010" max="11010" width="5.42578125" style="21" customWidth="1"/>
    <col min="11011" max="11011" width="9.5703125" style="21" bestFit="1" customWidth="1"/>
    <col min="11012" max="11264" width="9.140625" style="21"/>
    <col min="11265" max="11265" width="22.7109375" style="21" customWidth="1"/>
    <col min="11266" max="11266" width="5.42578125" style="21" customWidth="1"/>
    <col min="11267" max="11267" width="9.5703125" style="21" bestFit="1" customWidth="1"/>
    <col min="11268" max="11520" width="9.140625" style="21"/>
    <col min="11521" max="11521" width="22.7109375" style="21" customWidth="1"/>
    <col min="11522" max="11522" width="5.42578125" style="21" customWidth="1"/>
    <col min="11523" max="11523" width="9.5703125" style="21" bestFit="1" customWidth="1"/>
    <col min="11524" max="11776" width="9.140625" style="21"/>
    <col min="11777" max="11777" width="22.7109375" style="21" customWidth="1"/>
    <col min="11778" max="11778" width="5.42578125" style="21" customWidth="1"/>
    <col min="11779" max="11779" width="9.5703125" style="21" bestFit="1" customWidth="1"/>
    <col min="11780" max="12032" width="9.140625" style="21"/>
    <col min="12033" max="12033" width="22.7109375" style="21" customWidth="1"/>
    <col min="12034" max="12034" width="5.42578125" style="21" customWidth="1"/>
    <col min="12035" max="12035" width="9.5703125" style="21" bestFit="1" customWidth="1"/>
    <col min="12036" max="12288" width="9.140625" style="21"/>
    <col min="12289" max="12289" width="22.7109375" style="21" customWidth="1"/>
    <col min="12290" max="12290" width="5.42578125" style="21" customWidth="1"/>
    <col min="12291" max="12291" width="9.5703125" style="21" bestFit="1" customWidth="1"/>
    <col min="12292" max="12544" width="9.140625" style="21"/>
    <col min="12545" max="12545" width="22.7109375" style="21" customWidth="1"/>
    <col min="12546" max="12546" width="5.42578125" style="21" customWidth="1"/>
    <col min="12547" max="12547" width="9.5703125" style="21" bestFit="1" customWidth="1"/>
    <col min="12548" max="12800" width="9.140625" style="21"/>
    <col min="12801" max="12801" width="22.7109375" style="21" customWidth="1"/>
    <col min="12802" max="12802" width="5.42578125" style="21" customWidth="1"/>
    <col min="12803" max="12803" width="9.5703125" style="21" bestFit="1" customWidth="1"/>
    <col min="12804" max="13056" width="9.140625" style="21"/>
    <col min="13057" max="13057" width="22.7109375" style="21" customWidth="1"/>
    <col min="13058" max="13058" width="5.42578125" style="21" customWidth="1"/>
    <col min="13059" max="13059" width="9.5703125" style="21" bestFit="1" customWidth="1"/>
    <col min="13060" max="13312" width="9.140625" style="21"/>
    <col min="13313" max="13313" width="22.7109375" style="21" customWidth="1"/>
    <col min="13314" max="13314" width="5.42578125" style="21" customWidth="1"/>
    <col min="13315" max="13315" width="9.5703125" style="21" bestFit="1" customWidth="1"/>
    <col min="13316" max="13568" width="9.140625" style="21"/>
    <col min="13569" max="13569" width="22.7109375" style="21" customWidth="1"/>
    <col min="13570" max="13570" width="5.42578125" style="21" customWidth="1"/>
    <col min="13571" max="13571" width="9.5703125" style="21" bestFit="1" customWidth="1"/>
    <col min="13572" max="13824" width="9.140625" style="21"/>
    <col min="13825" max="13825" width="22.7109375" style="21" customWidth="1"/>
    <col min="13826" max="13826" width="5.42578125" style="21" customWidth="1"/>
    <col min="13827" max="13827" width="9.5703125" style="21" bestFit="1" customWidth="1"/>
    <col min="13828" max="14080" width="9.140625" style="21"/>
    <col min="14081" max="14081" width="22.7109375" style="21" customWidth="1"/>
    <col min="14082" max="14082" width="5.42578125" style="21" customWidth="1"/>
    <col min="14083" max="14083" width="9.5703125" style="21" bestFit="1" customWidth="1"/>
    <col min="14084" max="14336" width="9.140625" style="21"/>
    <col min="14337" max="14337" width="22.7109375" style="21" customWidth="1"/>
    <col min="14338" max="14338" width="5.42578125" style="21" customWidth="1"/>
    <col min="14339" max="14339" width="9.5703125" style="21" bestFit="1" customWidth="1"/>
    <col min="14340" max="14592" width="9.140625" style="21"/>
    <col min="14593" max="14593" width="22.7109375" style="21" customWidth="1"/>
    <col min="14594" max="14594" width="5.42578125" style="21" customWidth="1"/>
    <col min="14595" max="14595" width="9.5703125" style="21" bestFit="1" customWidth="1"/>
    <col min="14596" max="14848" width="9.140625" style="21"/>
    <col min="14849" max="14849" width="22.7109375" style="21" customWidth="1"/>
    <col min="14850" max="14850" width="5.42578125" style="21" customWidth="1"/>
    <col min="14851" max="14851" width="9.5703125" style="21" bestFit="1" customWidth="1"/>
    <col min="14852" max="15104" width="9.140625" style="21"/>
    <col min="15105" max="15105" width="22.7109375" style="21" customWidth="1"/>
    <col min="15106" max="15106" width="5.42578125" style="21" customWidth="1"/>
    <col min="15107" max="15107" width="9.5703125" style="21" bestFit="1" customWidth="1"/>
    <col min="15108" max="15360" width="9.140625" style="21"/>
    <col min="15361" max="15361" width="22.7109375" style="21" customWidth="1"/>
    <col min="15362" max="15362" width="5.42578125" style="21" customWidth="1"/>
    <col min="15363" max="15363" width="9.5703125" style="21" bestFit="1" customWidth="1"/>
    <col min="15364" max="15616" width="9.140625" style="21"/>
    <col min="15617" max="15617" width="22.7109375" style="21" customWidth="1"/>
    <col min="15618" max="15618" width="5.42578125" style="21" customWidth="1"/>
    <col min="15619" max="15619" width="9.5703125" style="21" bestFit="1" customWidth="1"/>
    <col min="15620" max="15872" width="9.140625" style="21"/>
    <col min="15873" max="15873" width="22.7109375" style="21" customWidth="1"/>
    <col min="15874" max="15874" width="5.42578125" style="21" customWidth="1"/>
    <col min="15875" max="15875" width="9.5703125" style="21" bestFit="1" customWidth="1"/>
    <col min="15876" max="16128" width="9.140625" style="21"/>
    <col min="16129" max="16129" width="22.7109375" style="21" customWidth="1"/>
    <col min="16130" max="16130" width="5.42578125" style="21" customWidth="1"/>
    <col min="16131" max="16131" width="9.5703125" style="21" bestFit="1" customWidth="1"/>
    <col min="16132" max="16384" width="9.140625" style="21"/>
  </cols>
  <sheetData>
    <row r="1" spans="1:15" s="27" customFormat="1" ht="22.5" customHeight="1">
      <c r="A1" s="23" t="s">
        <v>225</v>
      </c>
    </row>
    <row r="3" spans="1:15" ht="54.75" customHeight="1">
      <c r="A3" s="270"/>
      <c r="B3" s="81">
        <v>2010</v>
      </c>
      <c r="C3" s="81">
        <v>2011</v>
      </c>
      <c r="D3" s="81">
        <v>2012</v>
      </c>
      <c r="E3" s="514">
        <v>2013</v>
      </c>
      <c r="F3" s="81">
        <v>2014</v>
      </c>
      <c r="G3" s="81">
        <v>2015</v>
      </c>
      <c r="H3" s="81"/>
      <c r="I3" s="81"/>
      <c r="J3" s="81"/>
      <c r="K3" s="81"/>
      <c r="L3" s="81"/>
      <c r="M3" s="81"/>
      <c r="N3" s="81"/>
      <c r="O3" s="81"/>
    </row>
    <row r="4" spans="1:15" ht="39" customHeight="1">
      <c r="A4" s="270" t="s">
        <v>392</v>
      </c>
      <c r="B4" s="271">
        <v>1129.769</v>
      </c>
      <c r="C4" s="81">
        <v>1175.7</v>
      </c>
      <c r="D4" s="271">
        <v>1219</v>
      </c>
      <c r="E4" s="81">
        <v>1242.0999999999999</v>
      </c>
      <c r="F4" s="81">
        <v>1270.9000000000001</v>
      </c>
      <c r="G4" s="271">
        <v>1288</v>
      </c>
      <c r="H4" s="81"/>
      <c r="I4" s="81"/>
      <c r="J4" s="81"/>
      <c r="K4" s="81"/>
      <c r="L4" s="81"/>
      <c r="M4" s="81"/>
      <c r="N4" s="81"/>
      <c r="O4" s="81"/>
    </row>
    <row r="5" spans="1:15" ht="45" customHeight="1">
      <c r="A5" s="270" t="s">
        <v>393</v>
      </c>
      <c r="B5" s="271">
        <v>995.1</v>
      </c>
      <c r="C5" s="271">
        <v>1032.7</v>
      </c>
      <c r="D5" s="271">
        <v>1051.7</v>
      </c>
      <c r="E5" s="271">
        <v>1078.5</v>
      </c>
      <c r="F5" s="271">
        <v>1128.9000000000001</v>
      </c>
      <c r="G5" s="81">
        <v>1177.4000000000001</v>
      </c>
      <c r="H5" s="81"/>
      <c r="I5" s="81"/>
      <c r="J5" s="81"/>
      <c r="K5" s="81"/>
      <c r="L5" s="81"/>
      <c r="M5" s="81"/>
      <c r="N5" s="81"/>
      <c r="O5" s="81"/>
    </row>
    <row r="6" spans="1:15">
      <c r="A6" s="81" t="s">
        <v>394</v>
      </c>
      <c r="B6" s="271">
        <f t="shared" ref="B6:G6" si="0">B5/B4*100</f>
        <v>88.079952627484033</v>
      </c>
      <c r="C6" s="271">
        <f t="shared" si="0"/>
        <v>87.837033256783187</v>
      </c>
      <c r="D6" s="271">
        <f>D5/D4*100</f>
        <v>86.275635767022152</v>
      </c>
      <c r="E6" s="271">
        <f t="shared" si="0"/>
        <v>86.828757748973516</v>
      </c>
      <c r="F6" s="271">
        <f t="shared" si="0"/>
        <v>88.826815642458101</v>
      </c>
      <c r="G6" s="271">
        <f t="shared" si="0"/>
        <v>91.413043478260875</v>
      </c>
      <c r="H6" s="81"/>
      <c r="I6" s="81"/>
      <c r="J6" s="81"/>
      <c r="K6" s="81"/>
      <c r="L6" s="81"/>
      <c r="M6" s="81"/>
      <c r="N6" s="81"/>
      <c r="O6" s="81"/>
    </row>
    <row r="7" spans="1:15">
      <c r="A7" s="81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</row>
    <row r="8" spans="1:15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</row>
    <row r="9" spans="1:15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</row>
    <row r="10" spans="1:15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</row>
    <row r="11" spans="1:15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</row>
    <row r="12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spans="1:15">
      <c r="A13" s="81"/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spans="1:15">
      <c r="A14" s="81"/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</row>
    <row r="15" spans="1:15">
      <c r="A15" s="81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</row>
    <row r="16" spans="1:15">
      <c r="A16" s="81"/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</row>
    <row r="17" spans="1:15">
      <c r="A17" s="81"/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</row>
    <row r="18" spans="1:15">
      <c r="A18" s="81"/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</row>
    <row r="19" spans="1:15" ht="66.75" customHeight="1">
      <c r="A19" s="81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</row>
    <row r="20" spans="1:15" ht="15" customHeight="1">
      <c r="A20" s="656"/>
      <c r="B20" s="656"/>
      <c r="C20" s="656"/>
      <c r="D20" s="656"/>
      <c r="E20" s="656"/>
      <c r="F20" s="656"/>
      <c r="G20" s="656"/>
      <c r="H20" s="81"/>
      <c r="I20" s="81"/>
      <c r="J20" s="81"/>
      <c r="K20" s="81"/>
      <c r="L20" s="81"/>
      <c r="M20" s="81"/>
      <c r="N20" s="81"/>
      <c r="O20" s="81"/>
    </row>
    <row r="21" spans="1:15" ht="15.75">
      <c r="A21" s="799"/>
      <c r="B21" s="800"/>
      <c r="C21" s="654" t="s">
        <v>624</v>
      </c>
      <c r="D21" s="654" t="s">
        <v>625</v>
      </c>
      <c r="E21" s="655" t="s">
        <v>626</v>
      </c>
      <c r="F21" s="655" t="s">
        <v>421</v>
      </c>
      <c r="G21" s="654" t="s">
        <v>627</v>
      </c>
      <c r="H21" s="81"/>
      <c r="I21" s="81"/>
      <c r="J21" s="81"/>
      <c r="K21" s="81"/>
      <c r="L21" s="81"/>
      <c r="M21" s="81"/>
      <c r="N21" s="81"/>
      <c r="O21" s="81"/>
    </row>
    <row r="22" spans="1:15" ht="30" customHeight="1">
      <c r="A22" s="798" t="s">
        <v>620</v>
      </c>
      <c r="B22" s="798"/>
      <c r="C22" s="652">
        <v>1032.7</v>
      </c>
      <c r="D22" s="651">
        <v>1051.7</v>
      </c>
      <c r="E22" s="653">
        <v>1078.5</v>
      </c>
      <c r="F22" s="653">
        <v>1128.9000000000001</v>
      </c>
      <c r="G22" s="651">
        <v>1177.4000000000001</v>
      </c>
      <c r="H22" s="81"/>
      <c r="I22" s="81"/>
      <c r="J22" s="81"/>
      <c r="K22" s="81"/>
      <c r="L22" s="81"/>
      <c r="M22" s="81"/>
      <c r="N22" s="81"/>
      <c r="O22" s="81"/>
    </row>
    <row r="23" spans="1:15" ht="15.75">
      <c r="A23" s="798" t="s">
        <v>621</v>
      </c>
      <c r="B23" s="798"/>
      <c r="C23" s="652">
        <v>87.8</v>
      </c>
      <c r="D23" s="651">
        <v>86.3</v>
      </c>
      <c r="E23" s="653">
        <v>86.8</v>
      </c>
      <c r="F23" s="653">
        <v>88.8</v>
      </c>
      <c r="G23" s="651">
        <v>91.4</v>
      </c>
      <c r="H23" s="81"/>
      <c r="I23" s="81"/>
      <c r="J23" s="81"/>
      <c r="K23" s="81"/>
      <c r="L23" s="81"/>
      <c r="M23" s="81"/>
      <c r="N23" s="81"/>
      <c r="O23" s="81"/>
    </row>
    <row r="24" spans="1:15" ht="28.5" customHeight="1">
      <c r="A24" s="798" t="s">
        <v>622</v>
      </c>
      <c r="B24" s="798"/>
      <c r="C24" s="652">
        <v>337.5</v>
      </c>
      <c r="D24" s="651">
        <v>340.1</v>
      </c>
      <c r="E24" s="653">
        <v>346</v>
      </c>
      <c r="F24" s="653">
        <v>339.9</v>
      </c>
      <c r="G24" s="651">
        <v>354.2</v>
      </c>
      <c r="H24" s="81"/>
      <c r="I24" s="81"/>
      <c r="J24" s="81"/>
    </row>
    <row r="25" spans="1:15" ht="15.75">
      <c r="A25" s="798" t="s">
        <v>623</v>
      </c>
      <c r="B25" s="798"/>
      <c r="C25" s="652">
        <v>32.700000000000003</v>
      </c>
      <c r="D25" s="652">
        <v>32.299999999999997</v>
      </c>
      <c r="E25" s="652">
        <v>32.1</v>
      </c>
      <c r="F25" s="652">
        <v>30.1</v>
      </c>
      <c r="G25" s="652">
        <v>30.1</v>
      </c>
      <c r="H25" s="81"/>
      <c r="I25" s="81"/>
      <c r="J25" s="81"/>
      <c r="N25" s="71"/>
    </row>
    <row r="26" spans="1:15">
      <c r="A26" s="81"/>
      <c r="B26" s="81"/>
      <c r="C26" s="81"/>
      <c r="D26" s="81"/>
      <c r="E26" s="81"/>
      <c r="F26" s="81"/>
      <c r="G26" s="81"/>
      <c r="H26" s="81"/>
      <c r="I26" s="81"/>
      <c r="J26" s="81"/>
    </row>
    <row r="27" spans="1:15">
      <c r="A27" s="81"/>
      <c r="B27" s="81"/>
      <c r="C27" s="81"/>
      <c r="D27" s="81"/>
      <c r="E27" s="81"/>
      <c r="F27" s="81"/>
      <c r="G27" s="81"/>
      <c r="H27" s="81"/>
      <c r="I27" s="81"/>
      <c r="J27" s="81"/>
    </row>
  </sheetData>
  <mergeCells count="5">
    <mergeCell ref="A22:B22"/>
    <mergeCell ref="A23:B23"/>
    <mergeCell ref="A24:B24"/>
    <mergeCell ref="A25:B25"/>
    <mergeCell ref="A21:B21"/>
  </mergeCells>
  <hyperlinks>
    <hyperlink ref="A1" location="turinys!A1" display="Grįžti į turinį"/>
  </hyperlink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21"/>
  <sheetViews>
    <sheetView workbookViewId="0">
      <selection activeCell="F21" sqref="F21"/>
    </sheetView>
  </sheetViews>
  <sheetFormatPr defaultRowHeight="15.75"/>
  <cols>
    <col min="1" max="1" width="12.7109375" style="72" customWidth="1"/>
    <col min="2" max="2" width="9.7109375" style="72" customWidth="1"/>
    <col min="3" max="3" width="9.42578125" style="72" customWidth="1"/>
    <col min="4" max="5" width="10.140625" style="72" customWidth="1"/>
    <col min="6" max="6" width="10.7109375" style="72" customWidth="1"/>
    <col min="7" max="7" width="15.85546875" style="72" hidden="1" customWidth="1"/>
    <col min="8" max="8" width="17" style="72" customWidth="1"/>
    <col min="9" max="9" width="2.5703125" style="72" customWidth="1"/>
    <col min="10" max="10" width="10.42578125" style="72" customWidth="1"/>
    <col min="11" max="11" width="13.42578125" style="280" customWidth="1"/>
    <col min="12" max="256" width="9.140625" style="72"/>
    <col min="257" max="257" width="12.7109375" style="72" customWidth="1"/>
    <col min="258" max="258" width="9.7109375" style="72" customWidth="1"/>
    <col min="259" max="259" width="9.42578125" style="72" customWidth="1"/>
    <col min="260" max="261" width="10.140625" style="72" customWidth="1"/>
    <col min="262" max="262" width="10.7109375" style="72" customWidth="1"/>
    <col min="263" max="263" width="15.85546875" style="72" customWidth="1"/>
    <col min="264" max="264" width="17" style="72" customWidth="1"/>
    <col min="265" max="265" width="2.5703125" style="72" customWidth="1"/>
    <col min="266" max="512" width="9.140625" style="72"/>
    <col min="513" max="513" width="12.7109375" style="72" customWidth="1"/>
    <col min="514" max="514" width="9.7109375" style="72" customWidth="1"/>
    <col min="515" max="515" width="9.42578125" style="72" customWidth="1"/>
    <col min="516" max="517" width="10.140625" style="72" customWidth="1"/>
    <col min="518" max="518" width="10.7109375" style="72" customWidth="1"/>
    <col min="519" max="519" width="15.85546875" style="72" customWidth="1"/>
    <col min="520" max="520" width="17" style="72" customWidth="1"/>
    <col min="521" max="521" width="2.5703125" style="72" customWidth="1"/>
    <col min="522" max="768" width="9.140625" style="72"/>
    <col min="769" max="769" width="12.7109375" style="72" customWidth="1"/>
    <col min="770" max="770" width="9.7109375" style="72" customWidth="1"/>
    <col min="771" max="771" width="9.42578125" style="72" customWidth="1"/>
    <col min="772" max="773" width="10.140625" style="72" customWidth="1"/>
    <col min="774" max="774" width="10.7109375" style="72" customWidth="1"/>
    <col min="775" max="775" width="15.85546875" style="72" customWidth="1"/>
    <col min="776" max="776" width="17" style="72" customWidth="1"/>
    <col min="777" max="777" width="2.5703125" style="72" customWidth="1"/>
    <col min="778" max="1024" width="9.140625" style="72"/>
    <col min="1025" max="1025" width="12.7109375" style="72" customWidth="1"/>
    <col min="1026" max="1026" width="9.7109375" style="72" customWidth="1"/>
    <col min="1027" max="1027" width="9.42578125" style="72" customWidth="1"/>
    <col min="1028" max="1029" width="10.140625" style="72" customWidth="1"/>
    <col min="1030" max="1030" width="10.7109375" style="72" customWidth="1"/>
    <col min="1031" max="1031" width="15.85546875" style="72" customWidth="1"/>
    <col min="1032" max="1032" width="17" style="72" customWidth="1"/>
    <col min="1033" max="1033" width="2.5703125" style="72" customWidth="1"/>
    <col min="1034" max="1280" width="9.140625" style="72"/>
    <col min="1281" max="1281" width="12.7109375" style="72" customWidth="1"/>
    <col min="1282" max="1282" width="9.7109375" style="72" customWidth="1"/>
    <col min="1283" max="1283" width="9.42578125" style="72" customWidth="1"/>
    <col min="1284" max="1285" width="10.140625" style="72" customWidth="1"/>
    <col min="1286" max="1286" width="10.7109375" style="72" customWidth="1"/>
    <col min="1287" max="1287" width="15.85546875" style="72" customWidth="1"/>
    <col min="1288" max="1288" width="17" style="72" customWidth="1"/>
    <col min="1289" max="1289" width="2.5703125" style="72" customWidth="1"/>
    <col min="1290" max="1536" width="9.140625" style="72"/>
    <col min="1537" max="1537" width="12.7109375" style="72" customWidth="1"/>
    <col min="1538" max="1538" width="9.7109375" style="72" customWidth="1"/>
    <col min="1539" max="1539" width="9.42578125" style="72" customWidth="1"/>
    <col min="1540" max="1541" width="10.140625" style="72" customWidth="1"/>
    <col min="1542" max="1542" width="10.7109375" style="72" customWidth="1"/>
    <col min="1543" max="1543" width="15.85546875" style="72" customWidth="1"/>
    <col min="1544" max="1544" width="17" style="72" customWidth="1"/>
    <col min="1545" max="1545" width="2.5703125" style="72" customWidth="1"/>
    <col min="1546" max="1792" width="9.140625" style="72"/>
    <col min="1793" max="1793" width="12.7109375" style="72" customWidth="1"/>
    <col min="1794" max="1794" width="9.7109375" style="72" customWidth="1"/>
    <col min="1795" max="1795" width="9.42578125" style="72" customWidth="1"/>
    <col min="1796" max="1797" width="10.140625" style="72" customWidth="1"/>
    <col min="1798" max="1798" width="10.7109375" style="72" customWidth="1"/>
    <col min="1799" max="1799" width="15.85546875" style="72" customWidth="1"/>
    <col min="1800" max="1800" width="17" style="72" customWidth="1"/>
    <col min="1801" max="1801" width="2.5703125" style="72" customWidth="1"/>
    <col min="1802" max="2048" width="9.140625" style="72"/>
    <col min="2049" max="2049" width="12.7109375" style="72" customWidth="1"/>
    <col min="2050" max="2050" width="9.7109375" style="72" customWidth="1"/>
    <col min="2051" max="2051" width="9.42578125" style="72" customWidth="1"/>
    <col min="2052" max="2053" width="10.140625" style="72" customWidth="1"/>
    <col min="2054" max="2054" width="10.7109375" style="72" customWidth="1"/>
    <col min="2055" max="2055" width="15.85546875" style="72" customWidth="1"/>
    <col min="2056" max="2056" width="17" style="72" customWidth="1"/>
    <col min="2057" max="2057" width="2.5703125" style="72" customWidth="1"/>
    <col min="2058" max="2304" width="9.140625" style="72"/>
    <col min="2305" max="2305" width="12.7109375" style="72" customWidth="1"/>
    <col min="2306" max="2306" width="9.7109375" style="72" customWidth="1"/>
    <col min="2307" max="2307" width="9.42578125" style="72" customWidth="1"/>
    <col min="2308" max="2309" width="10.140625" style="72" customWidth="1"/>
    <col min="2310" max="2310" width="10.7109375" style="72" customWidth="1"/>
    <col min="2311" max="2311" width="15.85546875" style="72" customWidth="1"/>
    <col min="2312" max="2312" width="17" style="72" customWidth="1"/>
    <col min="2313" max="2313" width="2.5703125" style="72" customWidth="1"/>
    <col min="2314" max="2560" width="9.140625" style="72"/>
    <col min="2561" max="2561" width="12.7109375" style="72" customWidth="1"/>
    <col min="2562" max="2562" width="9.7109375" style="72" customWidth="1"/>
    <col min="2563" max="2563" width="9.42578125" style="72" customWidth="1"/>
    <col min="2564" max="2565" width="10.140625" style="72" customWidth="1"/>
    <col min="2566" max="2566" width="10.7109375" style="72" customWidth="1"/>
    <col min="2567" max="2567" width="15.85546875" style="72" customWidth="1"/>
    <col min="2568" max="2568" width="17" style="72" customWidth="1"/>
    <col min="2569" max="2569" width="2.5703125" style="72" customWidth="1"/>
    <col min="2570" max="2816" width="9.140625" style="72"/>
    <col min="2817" max="2817" width="12.7109375" style="72" customWidth="1"/>
    <col min="2818" max="2818" width="9.7109375" style="72" customWidth="1"/>
    <col min="2819" max="2819" width="9.42578125" style="72" customWidth="1"/>
    <col min="2820" max="2821" width="10.140625" style="72" customWidth="1"/>
    <col min="2822" max="2822" width="10.7109375" style="72" customWidth="1"/>
    <col min="2823" max="2823" width="15.85546875" style="72" customWidth="1"/>
    <col min="2824" max="2824" width="17" style="72" customWidth="1"/>
    <col min="2825" max="2825" width="2.5703125" style="72" customWidth="1"/>
    <col min="2826" max="3072" width="9.140625" style="72"/>
    <col min="3073" max="3073" width="12.7109375" style="72" customWidth="1"/>
    <col min="3074" max="3074" width="9.7109375" style="72" customWidth="1"/>
    <col min="3075" max="3075" width="9.42578125" style="72" customWidth="1"/>
    <col min="3076" max="3077" width="10.140625" style="72" customWidth="1"/>
    <col min="3078" max="3078" width="10.7109375" style="72" customWidth="1"/>
    <col min="3079" max="3079" width="15.85546875" style="72" customWidth="1"/>
    <col min="3080" max="3080" width="17" style="72" customWidth="1"/>
    <col min="3081" max="3081" width="2.5703125" style="72" customWidth="1"/>
    <col min="3082" max="3328" width="9.140625" style="72"/>
    <col min="3329" max="3329" width="12.7109375" style="72" customWidth="1"/>
    <col min="3330" max="3330" width="9.7109375" style="72" customWidth="1"/>
    <col min="3331" max="3331" width="9.42578125" style="72" customWidth="1"/>
    <col min="3332" max="3333" width="10.140625" style="72" customWidth="1"/>
    <col min="3334" max="3334" width="10.7109375" style="72" customWidth="1"/>
    <col min="3335" max="3335" width="15.85546875" style="72" customWidth="1"/>
    <col min="3336" max="3336" width="17" style="72" customWidth="1"/>
    <col min="3337" max="3337" width="2.5703125" style="72" customWidth="1"/>
    <col min="3338" max="3584" width="9.140625" style="72"/>
    <col min="3585" max="3585" width="12.7109375" style="72" customWidth="1"/>
    <col min="3586" max="3586" width="9.7109375" style="72" customWidth="1"/>
    <col min="3587" max="3587" width="9.42578125" style="72" customWidth="1"/>
    <col min="3588" max="3589" width="10.140625" style="72" customWidth="1"/>
    <col min="3590" max="3590" width="10.7109375" style="72" customWidth="1"/>
    <col min="3591" max="3591" width="15.85546875" style="72" customWidth="1"/>
    <col min="3592" max="3592" width="17" style="72" customWidth="1"/>
    <col min="3593" max="3593" width="2.5703125" style="72" customWidth="1"/>
    <col min="3594" max="3840" width="9.140625" style="72"/>
    <col min="3841" max="3841" width="12.7109375" style="72" customWidth="1"/>
    <col min="3842" max="3842" width="9.7109375" style="72" customWidth="1"/>
    <col min="3843" max="3843" width="9.42578125" style="72" customWidth="1"/>
    <col min="3844" max="3845" width="10.140625" style="72" customWidth="1"/>
    <col min="3846" max="3846" width="10.7109375" style="72" customWidth="1"/>
    <col min="3847" max="3847" width="15.85546875" style="72" customWidth="1"/>
    <col min="3848" max="3848" width="17" style="72" customWidth="1"/>
    <col min="3849" max="3849" width="2.5703125" style="72" customWidth="1"/>
    <col min="3850" max="4096" width="9.140625" style="72"/>
    <col min="4097" max="4097" width="12.7109375" style="72" customWidth="1"/>
    <col min="4098" max="4098" width="9.7109375" style="72" customWidth="1"/>
    <col min="4099" max="4099" width="9.42578125" style="72" customWidth="1"/>
    <col min="4100" max="4101" width="10.140625" style="72" customWidth="1"/>
    <col min="4102" max="4102" width="10.7109375" style="72" customWidth="1"/>
    <col min="4103" max="4103" width="15.85546875" style="72" customWidth="1"/>
    <col min="4104" max="4104" width="17" style="72" customWidth="1"/>
    <col min="4105" max="4105" width="2.5703125" style="72" customWidth="1"/>
    <col min="4106" max="4352" width="9.140625" style="72"/>
    <col min="4353" max="4353" width="12.7109375" style="72" customWidth="1"/>
    <col min="4354" max="4354" width="9.7109375" style="72" customWidth="1"/>
    <col min="4355" max="4355" width="9.42578125" style="72" customWidth="1"/>
    <col min="4356" max="4357" width="10.140625" style="72" customWidth="1"/>
    <col min="4358" max="4358" width="10.7109375" style="72" customWidth="1"/>
    <col min="4359" max="4359" width="15.85546875" style="72" customWidth="1"/>
    <col min="4360" max="4360" width="17" style="72" customWidth="1"/>
    <col min="4361" max="4361" width="2.5703125" style="72" customWidth="1"/>
    <col min="4362" max="4608" width="9.140625" style="72"/>
    <col min="4609" max="4609" width="12.7109375" style="72" customWidth="1"/>
    <col min="4610" max="4610" width="9.7109375" style="72" customWidth="1"/>
    <col min="4611" max="4611" width="9.42578125" style="72" customWidth="1"/>
    <col min="4612" max="4613" width="10.140625" style="72" customWidth="1"/>
    <col min="4614" max="4614" width="10.7109375" style="72" customWidth="1"/>
    <col min="4615" max="4615" width="15.85546875" style="72" customWidth="1"/>
    <col min="4616" max="4616" width="17" style="72" customWidth="1"/>
    <col min="4617" max="4617" width="2.5703125" style="72" customWidth="1"/>
    <col min="4618" max="4864" width="9.140625" style="72"/>
    <col min="4865" max="4865" width="12.7109375" style="72" customWidth="1"/>
    <col min="4866" max="4866" width="9.7109375" style="72" customWidth="1"/>
    <col min="4867" max="4867" width="9.42578125" style="72" customWidth="1"/>
    <col min="4868" max="4869" width="10.140625" style="72" customWidth="1"/>
    <col min="4870" max="4870" width="10.7109375" style="72" customWidth="1"/>
    <col min="4871" max="4871" width="15.85546875" style="72" customWidth="1"/>
    <col min="4872" max="4872" width="17" style="72" customWidth="1"/>
    <col min="4873" max="4873" width="2.5703125" style="72" customWidth="1"/>
    <col min="4874" max="5120" width="9.140625" style="72"/>
    <col min="5121" max="5121" width="12.7109375" style="72" customWidth="1"/>
    <col min="5122" max="5122" width="9.7109375" style="72" customWidth="1"/>
    <col min="5123" max="5123" width="9.42578125" style="72" customWidth="1"/>
    <col min="5124" max="5125" width="10.140625" style="72" customWidth="1"/>
    <col min="5126" max="5126" width="10.7109375" style="72" customWidth="1"/>
    <col min="5127" max="5127" width="15.85546875" style="72" customWidth="1"/>
    <col min="5128" max="5128" width="17" style="72" customWidth="1"/>
    <col min="5129" max="5129" width="2.5703125" style="72" customWidth="1"/>
    <col min="5130" max="5376" width="9.140625" style="72"/>
    <col min="5377" max="5377" width="12.7109375" style="72" customWidth="1"/>
    <col min="5378" max="5378" width="9.7109375" style="72" customWidth="1"/>
    <col min="5379" max="5379" width="9.42578125" style="72" customWidth="1"/>
    <col min="5380" max="5381" width="10.140625" style="72" customWidth="1"/>
    <col min="5382" max="5382" width="10.7109375" style="72" customWidth="1"/>
    <col min="5383" max="5383" width="15.85546875" style="72" customWidth="1"/>
    <col min="5384" max="5384" width="17" style="72" customWidth="1"/>
    <col min="5385" max="5385" width="2.5703125" style="72" customWidth="1"/>
    <col min="5386" max="5632" width="9.140625" style="72"/>
    <col min="5633" max="5633" width="12.7109375" style="72" customWidth="1"/>
    <col min="5634" max="5634" width="9.7109375" style="72" customWidth="1"/>
    <col min="5635" max="5635" width="9.42578125" style="72" customWidth="1"/>
    <col min="5636" max="5637" width="10.140625" style="72" customWidth="1"/>
    <col min="5638" max="5638" width="10.7109375" style="72" customWidth="1"/>
    <col min="5639" max="5639" width="15.85546875" style="72" customWidth="1"/>
    <col min="5640" max="5640" width="17" style="72" customWidth="1"/>
    <col min="5641" max="5641" width="2.5703125" style="72" customWidth="1"/>
    <col min="5642" max="5888" width="9.140625" style="72"/>
    <col min="5889" max="5889" width="12.7109375" style="72" customWidth="1"/>
    <col min="5890" max="5890" width="9.7109375" style="72" customWidth="1"/>
    <col min="5891" max="5891" width="9.42578125" style="72" customWidth="1"/>
    <col min="5892" max="5893" width="10.140625" style="72" customWidth="1"/>
    <col min="5894" max="5894" width="10.7109375" style="72" customWidth="1"/>
    <col min="5895" max="5895" width="15.85546875" style="72" customWidth="1"/>
    <col min="5896" max="5896" width="17" style="72" customWidth="1"/>
    <col min="5897" max="5897" width="2.5703125" style="72" customWidth="1"/>
    <col min="5898" max="6144" width="9.140625" style="72"/>
    <col min="6145" max="6145" width="12.7109375" style="72" customWidth="1"/>
    <col min="6146" max="6146" width="9.7109375" style="72" customWidth="1"/>
    <col min="6147" max="6147" width="9.42578125" style="72" customWidth="1"/>
    <col min="6148" max="6149" width="10.140625" style="72" customWidth="1"/>
    <col min="6150" max="6150" width="10.7109375" style="72" customWidth="1"/>
    <col min="6151" max="6151" width="15.85546875" style="72" customWidth="1"/>
    <col min="6152" max="6152" width="17" style="72" customWidth="1"/>
    <col min="6153" max="6153" width="2.5703125" style="72" customWidth="1"/>
    <col min="6154" max="6400" width="9.140625" style="72"/>
    <col min="6401" max="6401" width="12.7109375" style="72" customWidth="1"/>
    <col min="6402" max="6402" width="9.7109375" style="72" customWidth="1"/>
    <col min="6403" max="6403" width="9.42578125" style="72" customWidth="1"/>
    <col min="6404" max="6405" width="10.140625" style="72" customWidth="1"/>
    <col min="6406" max="6406" width="10.7109375" style="72" customWidth="1"/>
    <col min="6407" max="6407" width="15.85546875" style="72" customWidth="1"/>
    <col min="6408" max="6408" width="17" style="72" customWidth="1"/>
    <col min="6409" max="6409" width="2.5703125" style="72" customWidth="1"/>
    <col min="6410" max="6656" width="9.140625" style="72"/>
    <col min="6657" max="6657" width="12.7109375" style="72" customWidth="1"/>
    <col min="6658" max="6658" width="9.7109375" style="72" customWidth="1"/>
    <col min="6659" max="6659" width="9.42578125" style="72" customWidth="1"/>
    <col min="6660" max="6661" width="10.140625" style="72" customWidth="1"/>
    <col min="6662" max="6662" width="10.7109375" style="72" customWidth="1"/>
    <col min="6663" max="6663" width="15.85546875" style="72" customWidth="1"/>
    <col min="6664" max="6664" width="17" style="72" customWidth="1"/>
    <col min="6665" max="6665" width="2.5703125" style="72" customWidth="1"/>
    <col min="6666" max="6912" width="9.140625" style="72"/>
    <col min="6913" max="6913" width="12.7109375" style="72" customWidth="1"/>
    <col min="6914" max="6914" width="9.7109375" style="72" customWidth="1"/>
    <col min="6915" max="6915" width="9.42578125" style="72" customWidth="1"/>
    <col min="6916" max="6917" width="10.140625" style="72" customWidth="1"/>
    <col min="6918" max="6918" width="10.7109375" style="72" customWidth="1"/>
    <col min="6919" max="6919" width="15.85546875" style="72" customWidth="1"/>
    <col min="6920" max="6920" width="17" style="72" customWidth="1"/>
    <col min="6921" max="6921" width="2.5703125" style="72" customWidth="1"/>
    <col min="6922" max="7168" width="9.140625" style="72"/>
    <col min="7169" max="7169" width="12.7109375" style="72" customWidth="1"/>
    <col min="7170" max="7170" width="9.7109375" style="72" customWidth="1"/>
    <col min="7171" max="7171" width="9.42578125" style="72" customWidth="1"/>
    <col min="7172" max="7173" width="10.140625" style="72" customWidth="1"/>
    <col min="7174" max="7174" width="10.7109375" style="72" customWidth="1"/>
    <col min="7175" max="7175" width="15.85546875" style="72" customWidth="1"/>
    <col min="7176" max="7176" width="17" style="72" customWidth="1"/>
    <col min="7177" max="7177" width="2.5703125" style="72" customWidth="1"/>
    <col min="7178" max="7424" width="9.140625" style="72"/>
    <col min="7425" max="7425" width="12.7109375" style="72" customWidth="1"/>
    <col min="7426" max="7426" width="9.7109375" style="72" customWidth="1"/>
    <col min="7427" max="7427" width="9.42578125" style="72" customWidth="1"/>
    <col min="7428" max="7429" width="10.140625" style="72" customWidth="1"/>
    <col min="7430" max="7430" width="10.7109375" style="72" customWidth="1"/>
    <col min="7431" max="7431" width="15.85546875" style="72" customWidth="1"/>
    <col min="7432" max="7432" width="17" style="72" customWidth="1"/>
    <col min="7433" max="7433" width="2.5703125" style="72" customWidth="1"/>
    <col min="7434" max="7680" width="9.140625" style="72"/>
    <col min="7681" max="7681" width="12.7109375" style="72" customWidth="1"/>
    <col min="7682" max="7682" width="9.7109375" style="72" customWidth="1"/>
    <col min="7683" max="7683" width="9.42578125" style="72" customWidth="1"/>
    <col min="7684" max="7685" width="10.140625" style="72" customWidth="1"/>
    <col min="7686" max="7686" width="10.7109375" style="72" customWidth="1"/>
    <col min="7687" max="7687" width="15.85546875" style="72" customWidth="1"/>
    <col min="7688" max="7688" width="17" style="72" customWidth="1"/>
    <col min="7689" max="7689" width="2.5703125" style="72" customWidth="1"/>
    <col min="7690" max="7936" width="9.140625" style="72"/>
    <col min="7937" max="7937" width="12.7109375" style="72" customWidth="1"/>
    <col min="7938" max="7938" width="9.7109375" style="72" customWidth="1"/>
    <col min="7939" max="7939" width="9.42578125" style="72" customWidth="1"/>
    <col min="7940" max="7941" width="10.140625" style="72" customWidth="1"/>
    <col min="7942" max="7942" width="10.7109375" style="72" customWidth="1"/>
    <col min="7943" max="7943" width="15.85546875" style="72" customWidth="1"/>
    <col min="7944" max="7944" width="17" style="72" customWidth="1"/>
    <col min="7945" max="7945" width="2.5703125" style="72" customWidth="1"/>
    <col min="7946" max="8192" width="9.140625" style="72"/>
    <col min="8193" max="8193" width="12.7109375" style="72" customWidth="1"/>
    <col min="8194" max="8194" width="9.7109375" style="72" customWidth="1"/>
    <col min="8195" max="8195" width="9.42578125" style="72" customWidth="1"/>
    <col min="8196" max="8197" width="10.140625" style="72" customWidth="1"/>
    <col min="8198" max="8198" width="10.7109375" style="72" customWidth="1"/>
    <col min="8199" max="8199" width="15.85546875" style="72" customWidth="1"/>
    <col min="8200" max="8200" width="17" style="72" customWidth="1"/>
    <col min="8201" max="8201" width="2.5703125" style="72" customWidth="1"/>
    <col min="8202" max="8448" width="9.140625" style="72"/>
    <col min="8449" max="8449" width="12.7109375" style="72" customWidth="1"/>
    <col min="8450" max="8450" width="9.7109375" style="72" customWidth="1"/>
    <col min="8451" max="8451" width="9.42578125" style="72" customWidth="1"/>
    <col min="8452" max="8453" width="10.140625" style="72" customWidth="1"/>
    <col min="8454" max="8454" width="10.7109375" style="72" customWidth="1"/>
    <col min="8455" max="8455" width="15.85546875" style="72" customWidth="1"/>
    <col min="8456" max="8456" width="17" style="72" customWidth="1"/>
    <col min="8457" max="8457" width="2.5703125" style="72" customWidth="1"/>
    <col min="8458" max="8704" width="9.140625" style="72"/>
    <col min="8705" max="8705" width="12.7109375" style="72" customWidth="1"/>
    <col min="8706" max="8706" width="9.7109375" style="72" customWidth="1"/>
    <col min="8707" max="8707" width="9.42578125" style="72" customWidth="1"/>
    <col min="8708" max="8709" width="10.140625" style="72" customWidth="1"/>
    <col min="8710" max="8710" width="10.7109375" style="72" customWidth="1"/>
    <col min="8711" max="8711" width="15.85546875" style="72" customWidth="1"/>
    <col min="8712" max="8712" width="17" style="72" customWidth="1"/>
    <col min="8713" max="8713" width="2.5703125" style="72" customWidth="1"/>
    <col min="8714" max="8960" width="9.140625" style="72"/>
    <col min="8961" max="8961" width="12.7109375" style="72" customWidth="1"/>
    <col min="8962" max="8962" width="9.7109375" style="72" customWidth="1"/>
    <col min="8963" max="8963" width="9.42578125" style="72" customWidth="1"/>
    <col min="8964" max="8965" width="10.140625" style="72" customWidth="1"/>
    <col min="8966" max="8966" width="10.7109375" style="72" customWidth="1"/>
    <col min="8967" max="8967" width="15.85546875" style="72" customWidth="1"/>
    <col min="8968" max="8968" width="17" style="72" customWidth="1"/>
    <col min="8969" max="8969" width="2.5703125" style="72" customWidth="1"/>
    <col min="8970" max="9216" width="9.140625" style="72"/>
    <col min="9217" max="9217" width="12.7109375" style="72" customWidth="1"/>
    <col min="9218" max="9218" width="9.7109375" style="72" customWidth="1"/>
    <col min="9219" max="9219" width="9.42578125" style="72" customWidth="1"/>
    <col min="9220" max="9221" width="10.140625" style="72" customWidth="1"/>
    <col min="9222" max="9222" width="10.7109375" style="72" customWidth="1"/>
    <col min="9223" max="9223" width="15.85546875" style="72" customWidth="1"/>
    <col min="9224" max="9224" width="17" style="72" customWidth="1"/>
    <col min="9225" max="9225" width="2.5703125" style="72" customWidth="1"/>
    <col min="9226" max="9472" width="9.140625" style="72"/>
    <col min="9473" max="9473" width="12.7109375" style="72" customWidth="1"/>
    <col min="9474" max="9474" width="9.7109375" style="72" customWidth="1"/>
    <col min="9475" max="9475" width="9.42578125" style="72" customWidth="1"/>
    <col min="9476" max="9477" width="10.140625" style="72" customWidth="1"/>
    <col min="9478" max="9478" width="10.7109375" style="72" customWidth="1"/>
    <col min="9479" max="9479" width="15.85546875" style="72" customWidth="1"/>
    <col min="9480" max="9480" width="17" style="72" customWidth="1"/>
    <col min="9481" max="9481" width="2.5703125" style="72" customWidth="1"/>
    <col min="9482" max="9728" width="9.140625" style="72"/>
    <col min="9729" max="9729" width="12.7109375" style="72" customWidth="1"/>
    <col min="9730" max="9730" width="9.7109375" style="72" customWidth="1"/>
    <col min="9731" max="9731" width="9.42578125" style="72" customWidth="1"/>
    <col min="9732" max="9733" width="10.140625" style="72" customWidth="1"/>
    <col min="9734" max="9734" width="10.7109375" style="72" customWidth="1"/>
    <col min="9735" max="9735" width="15.85546875" style="72" customWidth="1"/>
    <col min="9736" max="9736" width="17" style="72" customWidth="1"/>
    <col min="9737" max="9737" width="2.5703125" style="72" customWidth="1"/>
    <col min="9738" max="9984" width="9.140625" style="72"/>
    <col min="9985" max="9985" width="12.7109375" style="72" customWidth="1"/>
    <col min="9986" max="9986" width="9.7109375" style="72" customWidth="1"/>
    <col min="9987" max="9987" width="9.42578125" style="72" customWidth="1"/>
    <col min="9988" max="9989" width="10.140625" style="72" customWidth="1"/>
    <col min="9990" max="9990" width="10.7109375" style="72" customWidth="1"/>
    <col min="9991" max="9991" width="15.85546875" style="72" customWidth="1"/>
    <col min="9992" max="9992" width="17" style="72" customWidth="1"/>
    <col min="9993" max="9993" width="2.5703125" style="72" customWidth="1"/>
    <col min="9994" max="10240" width="9.140625" style="72"/>
    <col min="10241" max="10241" width="12.7109375" style="72" customWidth="1"/>
    <col min="10242" max="10242" width="9.7109375" style="72" customWidth="1"/>
    <col min="10243" max="10243" width="9.42578125" style="72" customWidth="1"/>
    <col min="10244" max="10245" width="10.140625" style="72" customWidth="1"/>
    <col min="10246" max="10246" width="10.7109375" style="72" customWidth="1"/>
    <col min="10247" max="10247" width="15.85546875" style="72" customWidth="1"/>
    <col min="10248" max="10248" width="17" style="72" customWidth="1"/>
    <col min="10249" max="10249" width="2.5703125" style="72" customWidth="1"/>
    <col min="10250" max="10496" width="9.140625" style="72"/>
    <col min="10497" max="10497" width="12.7109375" style="72" customWidth="1"/>
    <col min="10498" max="10498" width="9.7109375" style="72" customWidth="1"/>
    <col min="10499" max="10499" width="9.42578125" style="72" customWidth="1"/>
    <col min="10500" max="10501" width="10.140625" style="72" customWidth="1"/>
    <col min="10502" max="10502" width="10.7109375" style="72" customWidth="1"/>
    <col min="10503" max="10503" width="15.85546875" style="72" customWidth="1"/>
    <col min="10504" max="10504" width="17" style="72" customWidth="1"/>
    <col min="10505" max="10505" width="2.5703125" style="72" customWidth="1"/>
    <col min="10506" max="10752" width="9.140625" style="72"/>
    <col min="10753" max="10753" width="12.7109375" style="72" customWidth="1"/>
    <col min="10754" max="10754" width="9.7109375" style="72" customWidth="1"/>
    <col min="10755" max="10755" width="9.42578125" style="72" customWidth="1"/>
    <col min="10756" max="10757" width="10.140625" style="72" customWidth="1"/>
    <col min="10758" max="10758" width="10.7109375" style="72" customWidth="1"/>
    <col min="10759" max="10759" width="15.85546875" style="72" customWidth="1"/>
    <col min="10760" max="10760" width="17" style="72" customWidth="1"/>
    <col min="10761" max="10761" width="2.5703125" style="72" customWidth="1"/>
    <col min="10762" max="11008" width="9.140625" style="72"/>
    <col min="11009" max="11009" width="12.7109375" style="72" customWidth="1"/>
    <col min="11010" max="11010" width="9.7109375" style="72" customWidth="1"/>
    <col min="11011" max="11011" width="9.42578125" style="72" customWidth="1"/>
    <col min="11012" max="11013" width="10.140625" style="72" customWidth="1"/>
    <col min="11014" max="11014" width="10.7109375" style="72" customWidth="1"/>
    <col min="11015" max="11015" width="15.85546875" style="72" customWidth="1"/>
    <col min="11016" max="11016" width="17" style="72" customWidth="1"/>
    <col min="11017" max="11017" width="2.5703125" style="72" customWidth="1"/>
    <col min="11018" max="11264" width="9.140625" style="72"/>
    <col min="11265" max="11265" width="12.7109375" style="72" customWidth="1"/>
    <col min="11266" max="11266" width="9.7109375" style="72" customWidth="1"/>
    <col min="11267" max="11267" width="9.42578125" style="72" customWidth="1"/>
    <col min="11268" max="11269" width="10.140625" style="72" customWidth="1"/>
    <col min="11270" max="11270" width="10.7109375" style="72" customWidth="1"/>
    <col min="11271" max="11271" width="15.85546875" style="72" customWidth="1"/>
    <col min="11272" max="11272" width="17" style="72" customWidth="1"/>
    <col min="11273" max="11273" width="2.5703125" style="72" customWidth="1"/>
    <col min="11274" max="11520" width="9.140625" style="72"/>
    <col min="11521" max="11521" width="12.7109375" style="72" customWidth="1"/>
    <col min="11522" max="11522" width="9.7109375" style="72" customWidth="1"/>
    <col min="11523" max="11523" width="9.42578125" style="72" customWidth="1"/>
    <col min="11524" max="11525" width="10.140625" style="72" customWidth="1"/>
    <col min="11526" max="11526" width="10.7109375" style="72" customWidth="1"/>
    <col min="11527" max="11527" width="15.85546875" style="72" customWidth="1"/>
    <col min="11528" max="11528" width="17" style="72" customWidth="1"/>
    <col min="11529" max="11529" width="2.5703125" style="72" customWidth="1"/>
    <col min="11530" max="11776" width="9.140625" style="72"/>
    <col min="11777" max="11777" width="12.7109375" style="72" customWidth="1"/>
    <col min="11778" max="11778" width="9.7109375" style="72" customWidth="1"/>
    <col min="11779" max="11779" width="9.42578125" style="72" customWidth="1"/>
    <col min="11780" max="11781" width="10.140625" style="72" customWidth="1"/>
    <col min="11782" max="11782" width="10.7109375" style="72" customWidth="1"/>
    <col min="11783" max="11783" width="15.85546875" style="72" customWidth="1"/>
    <col min="11784" max="11784" width="17" style="72" customWidth="1"/>
    <col min="11785" max="11785" width="2.5703125" style="72" customWidth="1"/>
    <col min="11786" max="12032" width="9.140625" style="72"/>
    <col min="12033" max="12033" width="12.7109375" style="72" customWidth="1"/>
    <col min="12034" max="12034" width="9.7109375" style="72" customWidth="1"/>
    <col min="12035" max="12035" width="9.42578125" style="72" customWidth="1"/>
    <col min="12036" max="12037" width="10.140625" style="72" customWidth="1"/>
    <col min="12038" max="12038" width="10.7109375" style="72" customWidth="1"/>
    <col min="12039" max="12039" width="15.85546875" style="72" customWidth="1"/>
    <col min="12040" max="12040" width="17" style="72" customWidth="1"/>
    <col min="12041" max="12041" width="2.5703125" style="72" customWidth="1"/>
    <col min="12042" max="12288" width="9.140625" style="72"/>
    <col min="12289" max="12289" width="12.7109375" style="72" customWidth="1"/>
    <col min="12290" max="12290" width="9.7109375" style="72" customWidth="1"/>
    <col min="12291" max="12291" width="9.42578125" style="72" customWidth="1"/>
    <col min="12292" max="12293" width="10.140625" style="72" customWidth="1"/>
    <col min="12294" max="12294" width="10.7109375" style="72" customWidth="1"/>
    <col min="12295" max="12295" width="15.85546875" style="72" customWidth="1"/>
    <col min="12296" max="12296" width="17" style="72" customWidth="1"/>
    <col min="12297" max="12297" width="2.5703125" style="72" customWidth="1"/>
    <col min="12298" max="12544" width="9.140625" style="72"/>
    <col min="12545" max="12545" width="12.7109375" style="72" customWidth="1"/>
    <col min="12546" max="12546" width="9.7109375" style="72" customWidth="1"/>
    <col min="12547" max="12547" width="9.42578125" style="72" customWidth="1"/>
    <col min="12548" max="12549" width="10.140625" style="72" customWidth="1"/>
    <col min="12550" max="12550" width="10.7109375" style="72" customWidth="1"/>
    <col min="12551" max="12551" width="15.85546875" style="72" customWidth="1"/>
    <col min="12552" max="12552" width="17" style="72" customWidth="1"/>
    <col min="12553" max="12553" width="2.5703125" style="72" customWidth="1"/>
    <col min="12554" max="12800" width="9.140625" style="72"/>
    <col min="12801" max="12801" width="12.7109375" style="72" customWidth="1"/>
    <col min="12802" max="12802" width="9.7109375" style="72" customWidth="1"/>
    <col min="12803" max="12803" width="9.42578125" style="72" customWidth="1"/>
    <col min="12804" max="12805" width="10.140625" style="72" customWidth="1"/>
    <col min="12806" max="12806" width="10.7109375" style="72" customWidth="1"/>
    <col min="12807" max="12807" width="15.85546875" style="72" customWidth="1"/>
    <col min="12808" max="12808" width="17" style="72" customWidth="1"/>
    <col min="12809" max="12809" width="2.5703125" style="72" customWidth="1"/>
    <col min="12810" max="13056" width="9.140625" style="72"/>
    <col min="13057" max="13057" width="12.7109375" style="72" customWidth="1"/>
    <col min="13058" max="13058" width="9.7109375" style="72" customWidth="1"/>
    <col min="13059" max="13059" width="9.42578125" style="72" customWidth="1"/>
    <col min="13060" max="13061" width="10.140625" style="72" customWidth="1"/>
    <col min="13062" max="13062" width="10.7109375" style="72" customWidth="1"/>
    <col min="13063" max="13063" width="15.85546875" style="72" customWidth="1"/>
    <col min="13064" max="13064" width="17" style="72" customWidth="1"/>
    <col min="13065" max="13065" width="2.5703125" style="72" customWidth="1"/>
    <col min="13066" max="13312" width="9.140625" style="72"/>
    <col min="13313" max="13313" width="12.7109375" style="72" customWidth="1"/>
    <col min="13314" max="13314" width="9.7109375" style="72" customWidth="1"/>
    <col min="13315" max="13315" width="9.42578125" style="72" customWidth="1"/>
    <col min="13316" max="13317" width="10.140625" style="72" customWidth="1"/>
    <col min="13318" max="13318" width="10.7109375" style="72" customWidth="1"/>
    <col min="13319" max="13319" width="15.85546875" style="72" customWidth="1"/>
    <col min="13320" max="13320" width="17" style="72" customWidth="1"/>
    <col min="13321" max="13321" width="2.5703125" style="72" customWidth="1"/>
    <col min="13322" max="13568" width="9.140625" style="72"/>
    <col min="13569" max="13569" width="12.7109375" style="72" customWidth="1"/>
    <col min="13570" max="13570" width="9.7109375" style="72" customWidth="1"/>
    <col min="13571" max="13571" width="9.42578125" style="72" customWidth="1"/>
    <col min="13572" max="13573" width="10.140625" style="72" customWidth="1"/>
    <col min="13574" max="13574" width="10.7109375" style="72" customWidth="1"/>
    <col min="13575" max="13575" width="15.85546875" style="72" customWidth="1"/>
    <col min="13576" max="13576" width="17" style="72" customWidth="1"/>
    <col min="13577" max="13577" width="2.5703125" style="72" customWidth="1"/>
    <col min="13578" max="13824" width="9.140625" style="72"/>
    <col min="13825" max="13825" width="12.7109375" style="72" customWidth="1"/>
    <col min="13826" max="13826" width="9.7109375" style="72" customWidth="1"/>
    <col min="13827" max="13827" width="9.42578125" style="72" customWidth="1"/>
    <col min="13828" max="13829" width="10.140625" style="72" customWidth="1"/>
    <col min="13830" max="13830" width="10.7109375" style="72" customWidth="1"/>
    <col min="13831" max="13831" width="15.85546875" style="72" customWidth="1"/>
    <col min="13832" max="13832" width="17" style="72" customWidth="1"/>
    <col min="13833" max="13833" width="2.5703125" style="72" customWidth="1"/>
    <col min="13834" max="14080" width="9.140625" style="72"/>
    <col min="14081" max="14081" width="12.7109375" style="72" customWidth="1"/>
    <col min="14082" max="14082" width="9.7109375" style="72" customWidth="1"/>
    <col min="14083" max="14083" width="9.42578125" style="72" customWidth="1"/>
    <col min="14084" max="14085" width="10.140625" style="72" customWidth="1"/>
    <col min="14086" max="14086" width="10.7109375" style="72" customWidth="1"/>
    <col min="14087" max="14087" width="15.85546875" style="72" customWidth="1"/>
    <col min="14088" max="14088" width="17" style="72" customWidth="1"/>
    <col min="14089" max="14089" width="2.5703125" style="72" customWidth="1"/>
    <col min="14090" max="14336" width="9.140625" style="72"/>
    <col min="14337" max="14337" width="12.7109375" style="72" customWidth="1"/>
    <col min="14338" max="14338" width="9.7109375" style="72" customWidth="1"/>
    <col min="14339" max="14339" width="9.42578125" style="72" customWidth="1"/>
    <col min="14340" max="14341" width="10.140625" style="72" customWidth="1"/>
    <col min="14342" max="14342" width="10.7109375" style="72" customWidth="1"/>
    <col min="14343" max="14343" width="15.85546875" style="72" customWidth="1"/>
    <col min="14344" max="14344" width="17" style="72" customWidth="1"/>
    <col min="14345" max="14345" width="2.5703125" style="72" customWidth="1"/>
    <col min="14346" max="14592" width="9.140625" style="72"/>
    <col min="14593" max="14593" width="12.7109375" style="72" customWidth="1"/>
    <col min="14594" max="14594" width="9.7109375" style="72" customWidth="1"/>
    <col min="14595" max="14595" width="9.42578125" style="72" customWidth="1"/>
    <col min="14596" max="14597" width="10.140625" style="72" customWidth="1"/>
    <col min="14598" max="14598" width="10.7109375" style="72" customWidth="1"/>
    <col min="14599" max="14599" width="15.85546875" style="72" customWidth="1"/>
    <col min="14600" max="14600" width="17" style="72" customWidth="1"/>
    <col min="14601" max="14601" width="2.5703125" style="72" customWidth="1"/>
    <col min="14602" max="14848" width="9.140625" style="72"/>
    <col min="14849" max="14849" width="12.7109375" style="72" customWidth="1"/>
    <col min="14850" max="14850" width="9.7109375" style="72" customWidth="1"/>
    <col min="14851" max="14851" width="9.42578125" style="72" customWidth="1"/>
    <col min="14852" max="14853" width="10.140625" style="72" customWidth="1"/>
    <col min="14854" max="14854" width="10.7109375" style="72" customWidth="1"/>
    <col min="14855" max="14855" width="15.85546875" style="72" customWidth="1"/>
    <col min="14856" max="14856" width="17" style="72" customWidth="1"/>
    <col min="14857" max="14857" width="2.5703125" style="72" customWidth="1"/>
    <col min="14858" max="15104" width="9.140625" style="72"/>
    <col min="15105" max="15105" width="12.7109375" style="72" customWidth="1"/>
    <col min="15106" max="15106" width="9.7109375" style="72" customWidth="1"/>
    <col min="15107" max="15107" width="9.42578125" style="72" customWidth="1"/>
    <col min="15108" max="15109" width="10.140625" style="72" customWidth="1"/>
    <col min="15110" max="15110" width="10.7109375" style="72" customWidth="1"/>
    <col min="15111" max="15111" width="15.85546875" style="72" customWidth="1"/>
    <col min="15112" max="15112" width="17" style="72" customWidth="1"/>
    <col min="15113" max="15113" width="2.5703125" style="72" customWidth="1"/>
    <col min="15114" max="15360" width="9.140625" style="72"/>
    <col min="15361" max="15361" width="12.7109375" style="72" customWidth="1"/>
    <col min="15362" max="15362" width="9.7109375" style="72" customWidth="1"/>
    <col min="15363" max="15363" width="9.42578125" style="72" customWidth="1"/>
    <col min="15364" max="15365" width="10.140625" style="72" customWidth="1"/>
    <col min="15366" max="15366" width="10.7109375" style="72" customWidth="1"/>
    <col min="15367" max="15367" width="15.85546875" style="72" customWidth="1"/>
    <col min="15368" max="15368" width="17" style="72" customWidth="1"/>
    <col min="15369" max="15369" width="2.5703125" style="72" customWidth="1"/>
    <col min="15370" max="15616" width="9.140625" style="72"/>
    <col min="15617" max="15617" width="12.7109375" style="72" customWidth="1"/>
    <col min="15618" max="15618" width="9.7109375" style="72" customWidth="1"/>
    <col min="15619" max="15619" width="9.42578125" style="72" customWidth="1"/>
    <col min="15620" max="15621" width="10.140625" style="72" customWidth="1"/>
    <col min="15622" max="15622" width="10.7109375" style="72" customWidth="1"/>
    <col min="15623" max="15623" width="15.85546875" style="72" customWidth="1"/>
    <col min="15624" max="15624" width="17" style="72" customWidth="1"/>
    <col min="15625" max="15625" width="2.5703125" style="72" customWidth="1"/>
    <col min="15626" max="15872" width="9.140625" style="72"/>
    <col min="15873" max="15873" width="12.7109375" style="72" customWidth="1"/>
    <col min="15874" max="15874" width="9.7109375" style="72" customWidth="1"/>
    <col min="15875" max="15875" width="9.42578125" style="72" customWidth="1"/>
    <col min="15876" max="15877" width="10.140625" style="72" customWidth="1"/>
    <col min="15878" max="15878" width="10.7109375" style="72" customWidth="1"/>
    <col min="15879" max="15879" width="15.85546875" style="72" customWidth="1"/>
    <col min="15880" max="15880" width="17" style="72" customWidth="1"/>
    <col min="15881" max="15881" width="2.5703125" style="72" customWidth="1"/>
    <col min="15882" max="16128" width="9.140625" style="72"/>
    <col min="16129" max="16129" width="12.7109375" style="72" customWidth="1"/>
    <col min="16130" max="16130" width="9.7109375" style="72" customWidth="1"/>
    <col min="16131" max="16131" width="9.42578125" style="72" customWidth="1"/>
    <col min="16132" max="16133" width="10.140625" style="72" customWidth="1"/>
    <col min="16134" max="16134" width="10.7109375" style="72" customWidth="1"/>
    <col min="16135" max="16135" width="15.85546875" style="72" customWidth="1"/>
    <col min="16136" max="16136" width="17" style="72" customWidth="1"/>
    <col min="16137" max="16137" width="2.5703125" style="72" customWidth="1"/>
    <col min="16138" max="16384" width="9.140625" style="72"/>
  </cols>
  <sheetData>
    <row r="1" spans="1:12" s="27" customFormat="1" ht="22.5" customHeight="1">
      <c r="A1" s="23" t="s">
        <v>225</v>
      </c>
      <c r="K1" s="279"/>
    </row>
    <row r="2" spans="1:12" ht="13.5" customHeight="1"/>
    <row r="3" spans="1:12" ht="34.5" customHeight="1">
      <c r="A3" s="807" t="s">
        <v>554</v>
      </c>
      <c r="B3" s="807"/>
      <c r="C3" s="807"/>
      <c r="D3" s="807"/>
      <c r="E3" s="807"/>
      <c r="F3" s="807"/>
      <c r="G3" s="807"/>
      <c r="H3" s="807"/>
      <c r="I3" s="807"/>
      <c r="J3" s="807"/>
      <c r="K3" s="807"/>
      <c r="L3" s="272"/>
    </row>
    <row r="4" spans="1:12" ht="16.5" customHeight="1">
      <c r="A4" s="272"/>
      <c r="B4" s="273"/>
      <c r="C4" s="273"/>
      <c r="D4" s="273"/>
      <c r="E4" s="273"/>
      <c r="F4" s="273"/>
      <c r="G4" s="273"/>
      <c r="H4" s="273"/>
      <c r="I4" s="272"/>
      <c r="J4" s="272"/>
      <c r="K4" s="392"/>
      <c r="L4" s="272"/>
    </row>
    <row r="5" spans="1:12" ht="87.75" customHeight="1">
      <c r="A5" s="813" t="s">
        <v>223</v>
      </c>
      <c r="B5" s="810" t="s">
        <v>555</v>
      </c>
      <c r="C5" s="811"/>
      <c r="D5" s="811"/>
      <c r="E5" s="811"/>
      <c r="F5" s="812"/>
      <c r="G5" s="274"/>
      <c r="H5" s="801" t="s">
        <v>556</v>
      </c>
      <c r="I5" s="803" t="s">
        <v>396</v>
      </c>
      <c r="J5" s="804"/>
      <c r="K5" s="801" t="s">
        <v>395</v>
      </c>
      <c r="L5" s="275"/>
    </row>
    <row r="6" spans="1:12">
      <c r="A6" s="814"/>
      <c r="B6" s="276" t="s">
        <v>220</v>
      </c>
      <c r="C6" s="276" t="s">
        <v>327</v>
      </c>
      <c r="D6" s="276" t="s">
        <v>221</v>
      </c>
      <c r="E6" s="276" t="s">
        <v>222</v>
      </c>
      <c r="F6" s="277" t="s">
        <v>56</v>
      </c>
      <c r="G6" s="274"/>
      <c r="H6" s="802"/>
      <c r="I6" s="805"/>
      <c r="J6" s="806"/>
      <c r="K6" s="802"/>
      <c r="L6" s="275"/>
    </row>
    <row r="7" spans="1:12">
      <c r="A7" s="276">
        <v>2004</v>
      </c>
      <c r="B7" s="391">
        <f>40.9/3.4528</f>
        <v>11.845458758109361</v>
      </c>
      <c r="C7" s="391">
        <f>43/3.4528</f>
        <v>12.453660797034292</v>
      </c>
      <c r="D7" s="391">
        <f>43.6/3.4528</f>
        <v>12.627432808155701</v>
      </c>
      <c r="E7" s="391">
        <f>45.7/3.4528</f>
        <v>13.235634847080631</v>
      </c>
      <c r="F7" s="390">
        <f t="shared" ref="F7:F18" si="0">B7+C7+D7+E7</f>
        <v>50.16218721037999</v>
      </c>
      <c r="G7" s="390">
        <v>89.45</v>
      </c>
      <c r="H7" s="390">
        <f t="shared" ref="H7:H18" si="1">G7/3.4528</f>
        <v>25.906510658016686</v>
      </c>
      <c r="I7" s="808">
        <f>H7/F7*100</f>
        <v>51.645496535796767</v>
      </c>
      <c r="J7" s="809"/>
      <c r="K7" s="281">
        <v>2.5000000000000001E-2</v>
      </c>
      <c r="L7" s="275"/>
    </row>
    <row r="8" spans="1:12">
      <c r="A8" s="276">
        <v>2005</v>
      </c>
      <c r="B8" s="391">
        <f>72.1/3.4528</f>
        <v>20.881603336422614</v>
      </c>
      <c r="C8" s="391">
        <f>75.2/3.4528</f>
        <v>21.779425393883226</v>
      </c>
      <c r="D8" s="391">
        <f>77.5/3.4528</f>
        <v>22.445551436515291</v>
      </c>
      <c r="E8" s="391">
        <f>83.6/3.4528</f>
        <v>24.212233549582947</v>
      </c>
      <c r="F8" s="390">
        <f t="shared" si="0"/>
        <v>89.31881371640408</v>
      </c>
      <c r="G8" s="390">
        <v>149.9</v>
      </c>
      <c r="H8" s="390">
        <f t="shared" si="1"/>
        <v>43.414040778498617</v>
      </c>
      <c r="I8" s="808">
        <f t="shared" ref="I8:I18" si="2">H8/F8*100</f>
        <v>48.605706874189366</v>
      </c>
      <c r="J8" s="809"/>
      <c r="K8" s="281">
        <v>3.5000000000000003E-2</v>
      </c>
      <c r="L8" s="275"/>
    </row>
    <row r="9" spans="1:12">
      <c r="A9" s="276">
        <v>2006</v>
      </c>
      <c r="B9" s="391">
        <f>121.2/3.4528</f>
        <v>35.101946246524562</v>
      </c>
      <c r="C9" s="391">
        <f>127.6/3.4528</f>
        <v>36.955514365152922</v>
      </c>
      <c r="D9" s="391">
        <f>136.3/3.4528</f>
        <v>39.475208526413347</v>
      </c>
      <c r="E9" s="391">
        <f>146/3.4528</f>
        <v>42.284522706209458</v>
      </c>
      <c r="F9" s="390">
        <f t="shared" si="0"/>
        <v>153.81719184430028</v>
      </c>
      <c r="G9" s="390">
        <v>248.5</v>
      </c>
      <c r="H9" s="390">
        <f t="shared" si="1"/>
        <v>71.970574606116784</v>
      </c>
      <c r="I9" s="808">
        <f t="shared" si="2"/>
        <v>46.78968179250613</v>
      </c>
      <c r="J9" s="809"/>
      <c r="K9" s="281">
        <v>4.4999999999999998E-2</v>
      </c>
      <c r="L9" s="275"/>
    </row>
    <row r="10" spans="1:12">
      <c r="A10" s="276">
        <v>2007</v>
      </c>
      <c r="B10" s="391">
        <f>194.9/3.4528</f>
        <v>56.44694161260427</v>
      </c>
      <c r="C10" s="391">
        <f>206/3.4528</f>
        <v>59.661723818350325</v>
      </c>
      <c r="D10" s="391">
        <f>218/3.4528</f>
        <v>63.137164040778501</v>
      </c>
      <c r="E10" s="391">
        <f>232.7/3.4528</f>
        <v>67.394578313253007</v>
      </c>
      <c r="F10" s="390">
        <f t="shared" si="0"/>
        <v>246.64040778498611</v>
      </c>
      <c r="G10" s="390">
        <v>389.15</v>
      </c>
      <c r="H10" s="390">
        <f t="shared" si="1"/>
        <v>112.70563021316033</v>
      </c>
      <c r="I10" s="808">
        <f t="shared" si="2"/>
        <v>45.696336308125879</v>
      </c>
      <c r="J10" s="809"/>
      <c r="K10" s="281">
        <v>5.5E-2</v>
      </c>
      <c r="L10" s="275"/>
    </row>
    <row r="11" spans="1:12">
      <c r="A11" s="276">
        <v>2008</v>
      </c>
      <c r="B11" s="391">
        <f>259.2/3.4528</f>
        <v>75.06950880444856</v>
      </c>
      <c r="C11" s="391">
        <f>266.6/3.4528</f>
        <v>77.21269694161262</v>
      </c>
      <c r="D11" s="391">
        <f>271.4/3.4528</f>
        <v>78.602873030583865</v>
      </c>
      <c r="E11" s="391">
        <f>266.8/3.4528</f>
        <v>77.270620945319749</v>
      </c>
      <c r="F11" s="390">
        <f t="shared" si="0"/>
        <v>308.15569972196482</v>
      </c>
      <c r="G11" s="390">
        <v>80</v>
      </c>
      <c r="H11" s="390">
        <f t="shared" si="1"/>
        <v>23.169601482854496</v>
      </c>
      <c r="I11" s="808">
        <f t="shared" si="2"/>
        <v>7.518796992481203</v>
      </c>
      <c r="J11" s="809"/>
      <c r="K11" s="281">
        <v>5.5E-2</v>
      </c>
      <c r="L11" s="275"/>
    </row>
    <row r="12" spans="1:12" ht="31.5">
      <c r="A12" s="276">
        <v>2009</v>
      </c>
      <c r="B12" s="391">
        <f>137.5/3.4528</f>
        <v>39.822752548656162</v>
      </c>
      <c r="C12" s="391">
        <f>130.7/3.4528</f>
        <v>37.85333642261353</v>
      </c>
      <c r="D12" s="391">
        <f>84.1/3.4528</f>
        <v>24.357043558850787</v>
      </c>
      <c r="E12" s="391">
        <f>81.5/3.4528</f>
        <v>23.604031510658018</v>
      </c>
      <c r="F12" s="391">
        <f t="shared" si="0"/>
        <v>125.6371640407785</v>
      </c>
      <c r="G12" s="391">
        <v>495.7</v>
      </c>
      <c r="H12" s="391">
        <f t="shared" si="1"/>
        <v>143.56464318813715</v>
      </c>
      <c r="I12" s="816">
        <f>H12/F12*100</f>
        <v>114.26924850161365</v>
      </c>
      <c r="J12" s="817"/>
      <c r="K12" s="282" t="s">
        <v>557</v>
      </c>
      <c r="L12" s="275"/>
    </row>
    <row r="13" spans="1:12">
      <c r="A13" s="276">
        <v>2010</v>
      </c>
      <c r="B13" s="391">
        <f>79.33/3.4528</f>
        <v>22.975556070435587</v>
      </c>
      <c r="C13" s="391">
        <f>80.99/3.4528</f>
        <v>23.456325301204817</v>
      </c>
      <c r="D13" s="391">
        <f>82.89/3.4528</f>
        <v>24.006603336422614</v>
      </c>
      <c r="E13" s="391">
        <f>85/3.4528</f>
        <v>24.617701575532902</v>
      </c>
      <c r="F13" s="390">
        <f t="shared" si="0"/>
        <v>95.05618628359592</v>
      </c>
      <c r="G13" s="390">
        <v>350</v>
      </c>
      <c r="H13" s="390">
        <f t="shared" si="1"/>
        <v>101.36700648748842</v>
      </c>
      <c r="I13" s="808">
        <f t="shared" si="2"/>
        <v>106.63904207671919</v>
      </c>
      <c r="J13" s="809"/>
      <c r="K13" s="281">
        <v>0.02</v>
      </c>
      <c r="L13" s="275"/>
    </row>
    <row r="14" spans="1:12">
      <c r="A14" s="276">
        <v>2011</v>
      </c>
      <c r="B14" s="391">
        <f>84.82/3.4528</f>
        <v>24.565569972196478</v>
      </c>
      <c r="C14" s="391">
        <f>90.01/3.4528</f>
        <v>26.068697868396665</v>
      </c>
      <c r="D14" s="391">
        <f>90.78/3.4528</f>
        <v>26.291705282669138</v>
      </c>
      <c r="E14" s="391">
        <f>93.25/3.4528</f>
        <v>27.007066728452273</v>
      </c>
      <c r="F14" s="390">
        <f t="shared" si="0"/>
        <v>103.93303985171455</v>
      </c>
      <c r="G14" s="390">
        <v>351.6</v>
      </c>
      <c r="H14" s="390">
        <f t="shared" si="1"/>
        <v>101.83039851714551</v>
      </c>
      <c r="I14" s="808">
        <f t="shared" si="2"/>
        <v>97.976926935295111</v>
      </c>
      <c r="J14" s="809"/>
      <c r="K14" s="281">
        <v>0.02</v>
      </c>
      <c r="L14" s="275"/>
    </row>
    <row r="15" spans="1:12">
      <c r="A15" s="276">
        <v>2012</v>
      </c>
      <c r="B15" s="391">
        <f>69.6/3.4528</f>
        <v>20.15755329008341</v>
      </c>
      <c r="C15" s="391">
        <f>72.06/3.4528</f>
        <v>20.870018535681186</v>
      </c>
      <c r="D15" s="391">
        <f>71.62/3.4528</f>
        <v>20.742585727525487</v>
      </c>
      <c r="E15" s="391">
        <f>73.38/3.4528</f>
        <v>21.252316960148285</v>
      </c>
      <c r="F15" s="390">
        <f t="shared" si="0"/>
        <v>83.022474513438368</v>
      </c>
      <c r="G15" s="390">
        <v>300.54000000000002</v>
      </c>
      <c r="H15" s="390">
        <f t="shared" si="1"/>
        <v>87.042400370713636</v>
      </c>
      <c r="I15" s="808">
        <f t="shared" si="2"/>
        <v>104.84197306914116</v>
      </c>
      <c r="J15" s="809"/>
      <c r="K15" s="281">
        <v>1.4999999999999999E-2</v>
      </c>
      <c r="L15" s="275"/>
    </row>
    <row r="16" spans="1:12">
      <c r="A16" s="276">
        <v>2013</v>
      </c>
      <c r="B16" s="391">
        <f>122.22/3.4528</f>
        <v>35.397358665430957</v>
      </c>
      <c r="C16" s="391">
        <f>128.5/3.4528</f>
        <v>37.216172381835037</v>
      </c>
      <c r="D16" s="391">
        <f>130.41/3.4528</f>
        <v>37.769346617238185</v>
      </c>
      <c r="E16" s="391">
        <f>132.34/3.4528</f>
        <v>38.328313253012048</v>
      </c>
      <c r="F16" s="390">
        <f t="shared" si="0"/>
        <v>148.71119091751623</v>
      </c>
      <c r="G16" s="390">
        <v>469.5</v>
      </c>
      <c r="H16" s="390">
        <f t="shared" si="1"/>
        <v>135.97659870250232</v>
      </c>
      <c r="I16" s="808">
        <f t="shared" si="2"/>
        <v>91.436695425243926</v>
      </c>
      <c r="J16" s="809"/>
      <c r="K16" s="281">
        <v>2.5000000000000001E-2</v>
      </c>
      <c r="L16" s="275"/>
    </row>
    <row r="17" spans="1:12">
      <c r="A17" s="276">
        <v>2014</v>
      </c>
      <c r="B17" s="391">
        <f>104.83/3.4528</f>
        <v>30.360866543095458</v>
      </c>
      <c r="C17" s="391">
        <f>113.4/3.4528</f>
        <v>32.842910101946252</v>
      </c>
      <c r="D17" s="391">
        <f>110.8/3.4528</f>
        <v>32.089898053753473</v>
      </c>
      <c r="E17" s="391">
        <f>114.7/3.4528</f>
        <v>33.219416126042631</v>
      </c>
      <c r="F17" s="390">
        <f t="shared" si="0"/>
        <v>128.51309082483783</v>
      </c>
      <c r="G17" s="390">
        <v>0</v>
      </c>
      <c r="H17" s="390">
        <f t="shared" si="1"/>
        <v>0</v>
      </c>
      <c r="I17" s="808">
        <f t="shared" si="2"/>
        <v>0</v>
      </c>
      <c r="J17" s="809"/>
      <c r="K17" s="281">
        <v>0.02</v>
      </c>
      <c r="L17" s="275"/>
    </row>
    <row r="18" spans="1:12">
      <c r="A18" s="276">
        <v>2015</v>
      </c>
      <c r="B18" s="391">
        <v>32.79</v>
      </c>
      <c r="C18" s="391">
        <v>35.345999999999997</v>
      </c>
      <c r="D18" s="391">
        <v>35.520000000000003</v>
      </c>
      <c r="E18" s="391">
        <v>36.659999999999997</v>
      </c>
      <c r="F18" s="390">
        <f t="shared" si="0"/>
        <v>140.316</v>
      </c>
      <c r="G18" s="390">
        <v>0</v>
      </c>
      <c r="H18" s="390">
        <f t="shared" si="1"/>
        <v>0</v>
      </c>
      <c r="I18" s="808">
        <f t="shared" si="2"/>
        <v>0</v>
      </c>
      <c r="J18" s="809"/>
      <c r="K18" s="281">
        <v>0.02</v>
      </c>
      <c r="L18" s="275"/>
    </row>
    <row r="19" spans="1:12" s="518" customFormat="1">
      <c r="A19" s="272" t="s">
        <v>397</v>
      </c>
      <c r="B19" s="515"/>
      <c r="C19" s="515"/>
      <c r="D19" s="516"/>
      <c r="E19" s="517"/>
      <c r="F19" s="515">
        <f>F7+F8+F9+F10+F11+F12+F13+F14+F15+F16+F17+F18</f>
        <v>1673.2834467099167</v>
      </c>
      <c r="G19" s="515" t="e">
        <f>G7+G8+G9+G10+G11+G12+G13+G14+G15+G16+G17+G18+#REF!</f>
        <v>#REF!</v>
      </c>
      <c r="H19" s="515">
        <f>H7+H8+H9+H10+H11+H12+H13+H14+H15+H16+H17+H18</f>
        <v>846.94740500463388</v>
      </c>
      <c r="I19" s="815">
        <f>H19/F19*100</f>
        <v>50.615895750952355</v>
      </c>
      <c r="J19" s="815"/>
      <c r="K19" s="392"/>
      <c r="L19" s="272"/>
    </row>
    <row r="20" spans="1:12">
      <c r="A20" s="275"/>
      <c r="B20" s="275"/>
      <c r="C20" s="275"/>
      <c r="D20" s="275"/>
      <c r="E20" s="275"/>
      <c r="F20" s="275"/>
      <c r="G20" s="275"/>
      <c r="H20" s="275"/>
      <c r="I20" s="275"/>
      <c r="J20" s="275"/>
      <c r="K20" s="283"/>
      <c r="L20" s="275"/>
    </row>
    <row r="21" spans="1:12">
      <c r="A21" s="275"/>
      <c r="B21" s="275"/>
      <c r="C21" s="275"/>
      <c r="D21" s="275"/>
      <c r="E21" s="275"/>
      <c r="F21" s="275"/>
      <c r="G21" s="275"/>
      <c r="H21" s="275"/>
      <c r="I21" s="275"/>
      <c r="J21" s="275"/>
      <c r="K21" s="283"/>
      <c r="L21" s="275"/>
    </row>
  </sheetData>
  <mergeCells count="19">
    <mergeCell ref="I18:J18"/>
    <mergeCell ref="I19:J19"/>
    <mergeCell ref="I11:J11"/>
    <mergeCell ref="I12:J12"/>
    <mergeCell ref="I13:J13"/>
    <mergeCell ref="I14:J14"/>
    <mergeCell ref="I15:J15"/>
    <mergeCell ref="I16:J16"/>
    <mergeCell ref="H5:H6"/>
    <mergeCell ref="I5:J6"/>
    <mergeCell ref="K5:K6"/>
    <mergeCell ref="A3:K3"/>
    <mergeCell ref="I17:J17"/>
    <mergeCell ref="I7:J7"/>
    <mergeCell ref="I8:J8"/>
    <mergeCell ref="I9:J9"/>
    <mergeCell ref="I10:J10"/>
    <mergeCell ref="B5:F5"/>
    <mergeCell ref="A5:A6"/>
  </mergeCells>
  <hyperlinks>
    <hyperlink ref="A1" location="turinys!A1" display="Grįžti į turinį"/>
  </hyperlinks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3"/>
  <sheetViews>
    <sheetView zoomScale="96" zoomScaleNormal="96" workbookViewId="0">
      <selection activeCell="H10" sqref="H10"/>
    </sheetView>
  </sheetViews>
  <sheetFormatPr defaultColWidth="7.7109375" defaultRowHeight="15.75"/>
  <cols>
    <col min="1" max="1" width="16.5703125" style="72" customWidth="1"/>
    <col min="2" max="2" width="10.42578125" style="72" customWidth="1"/>
    <col min="3" max="3" width="6.85546875" style="72" customWidth="1"/>
    <col min="4" max="4" width="8" style="72" customWidth="1"/>
    <col min="5" max="5" width="7.85546875" style="72" customWidth="1"/>
    <col min="6" max="6" width="8.28515625" style="72" customWidth="1"/>
    <col min="7" max="7" width="8.42578125" style="72" customWidth="1"/>
    <col min="8" max="8" width="8.140625" style="72" customWidth="1"/>
    <col min="9" max="9" width="8.85546875" style="72" customWidth="1"/>
    <col min="10" max="10" width="8.28515625" style="72" customWidth="1"/>
    <col min="11" max="11" width="7.5703125" style="72" customWidth="1"/>
    <col min="12" max="12" width="7.42578125" style="72" customWidth="1"/>
    <col min="13" max="13" width="8.140625" style="72" customWidth="1"/>
    <col min="14" max="14" width="10.140625" style="72" customWidth="1"/>
    <col min="15" max="15" width="7.42578125" style="72" customWidth="1"/>
    <col min="16" max="16" width="7.7109375" style="72" customWidth="1"/>
    <col min="17" max="17" width="8.140625" style="72" customWidth="1"/>
    <col min="18" max="256" width="7.7109375" style="72"/>
    <col min="257" max="257" width="8.7109375" style="72" customWidth="1"/>
    <col min="258" max="258" width="10.42578125" style="72" customWidth="1"/>
    <col min="259" max="259" width="6.85546875" style="72" customWidth="1"/>
    <col min="260" max="260" width="8" style="72" customWidth="1"/>
    <col min="261" max="261" width="7.85546875" style="72" customWidth="1"/>
    <col min="262" max="262" width="7" style="72" customWidth="1"/>
    <col min="263" max="263" width="8.42578125" style="72" customWidth="1"/>
    <col min="264" max="264" width="7.42578125" style="72" customWidth="1"/>
    <col min="265" max="265" width="7.28515625" style="72" customWidth="1"/>
    <col min="266" max="266" width="8.28515625" style="72" customWidth="1"/>
    <col min="267" max="267" width="7.5703125" style="72" customWidth="1"/>
    <col min="268" max="268" width="7.42578125" style="72" customWidth="1"/>
    <col min="269" max="269" width="8.140625" style="72" customWidth="1"/>
    <col min="270" max="270" width="8.7109375" style="72" customWidth="1"/>
    <col min="271" max="271" width="7.42578125" style="72" customWidth="1"/>
    <col min="272" max="272" width="7.7109375" style="72" customWidth="1"/>
    <col min="273" max="273" width="8.140625" style="72" customWidth="1"/>
    <col min="274" max="512" width="7.7109375" style="72"/>
    <col min="513" max="513" width="8.7109375" style="72" customWidth="1"/>
    <col min="514" max="514" width="10.42578125" style="72" customWidth="1"/>
    <col min="515" max="515" width="6.85546875" style="72" customWidth="1"/>
    <col min="516" max="516" width="8" style="72" customWidth="1"/>
    <col min="517" max="517" width="7.85546875" style="72" customWidth="1"/>
    <col min="518" max="518" width="7" style="72" customWidth="1"/>
    <col min="519" max="519" width="8.42578125" style="72" customWidth="1"/>
    <col min="520" max="520" width="7.42578125" style="72" customWidth="1"/>
    <col min="521" max="521" width="7.28515625" style="72" customWidth="1"/>
    <col min="522" max="522" width="8.28515625" style="72" customWidth="1"/>
    <col min="523" max="523" width="7.5703125" style="72" customWidth="1"/>
    <col min="524" max="524" width="7.42578125" style="72" customWidth="1"/>
    <col min="525" max="525" width="8.140625" style="72" customWidth="1"/>
    <col min="526" max="526" width="8.7109375" style="72" customWidth="1"/>
    <col min="527" max="527" width="7.42578125" style="72" customWidth="1"/>
    <col min="528" max="528" width="7.7109375" style="72" customWidth="1"/>
    <col min="529" max="529" width="8.140625" style="72" customWidth="1"/>
    <col min="530" max="768" width="7.7109375" style="72"/>
    <col min="769" max="769" width="8.7109375" style="72" customWidth="1"/>
    <col min="770" max="770" width="10.42578125" style="72" customWidth="1"/>
    <col min="771" max="771" width="6.85546875" style="72" customWidth="1"/>
    <col min="772" max="772" width="8" style="72" customWidth="1"/>
    <col min="773" max="773" width="7.85546875" style="72" customWidth="1"/>
    <col min="774" max="774" width="7" style="72" customWidth="1"/>
    <col min="775" max="775" width="8.42578125" style="72" customWidth="1"/>
    <col min="776" max="776" width="7.42578125" style="72" customWidth="1"/>
    <col min="777" max="777" width="7.28515625" style="72" customWidth="1"/>
    <col min="778" max="778" width="8.28515625" style="72" customWidth="1"/>
    <col min="779" max="779" width="7.5703125" style="72" customWidth="1"/>
    <col min="780" max="780" width="7.42578125" style="72" customWidth="1"/>
    <col min="781" max="781" width="8.140625" style="72" customWidth="1"/>
    <col min="782" max="782" width="8.7109375" style="72" customWidth="1"/>
    <col min="783" max="783" width="7.42578125" style="72" customWidth="1"/>
    <col min="784" max="784" width="7.7109375" style="72" customWidth="1"/>
    <col min="785" max="785" width="8.140625" style="72" customWidth="1"/>
    <col min="786" max="1024" width="7.7109375" style="72"/>
    <col min="1025" max="1025" width="8.7109375" style="72" customWidth="1"/>
    <col min="1026" max="1026" width="10.42578125" style="72" customWidth="1"/>
    <col min="1027" max="1027" width="6.85546875" style="72" customWidth="1"/>
    <col min="1028" max="1028" width="8" style="72" customWidth="1"/>
    <col min="1029" max="1029" width="7.85546875" style="72" customWidth="1"/>
    <col min="1030" max="1030" width="7" style="72" customWidth="1"/>
    <col min="1031" max="1031" width="8.42578125" style="72" customWidth="1"/>
    <col min="1032" max="1032" width="7.42578125" style="72" customWidth="1"/>
    <col min="1033" max="1033" width="7.28515625" style="72" customWidth="1"/>
    <col min="1034" max="1034" width="8.28515625" style="72" customWidth="1"/>
    <col min="1035" max="1035" width="7.5703125" style="72" customWidth="1"/>
    <col min="1036" max="1036" width="7.42578125" style="72" customWidth="1"/>
    <col min="1037" max="1037" width="8.140625" style="72" customWidth="1"/>
    <col min="1038" max="1038" width="8.7109375" style="72" customWidth="1"/>
    <col min="1039" max="1039" width="7.42578125" style="72" customWidth="1"/>
    <col min="1040" max="1040" width="7.7109375" style="72" customWidth="1"/>
    <col min="1041" max="1041" width="8.140625" style="72" customWidth="1"/>
    <col min="1042" max="1280" width="7.7109375" style="72"/>
    <col min="1281" max="1281" width="8.7109375" style="72" customWidth="1"/>
    <col min="1282" max="1282" width="10.42578125" style="72" customWidth="1"/>
    <col min="1283" max="1283" width="6.85546875" style="72" customWidth="1"/>
    <col min="1284" max="1284" width="8" style="72" customWidth="1"/>
    <col min="1285" max="1285" width="7.85546875" style="72" customWidth="1"/>
    <col min="1286" max="1286" width="7" style="72" customWidth="1"/>
    <col min="1287" max="1287" width="8.42578125" style="72" customWidth="1"/>
    <col min="1288" max="1288" width="7.42578125" style="72" customWidth="1"/>
    <col min="1289" max="1289" width="7.28515625" style="72" customWidth="1"/>
    <col min="1290" max="1290" width="8.28515625" style="72" customWidth="1"/>
    <col min="1291" max="1291" width="7.5703125" style="72" customWidth="1"/>
    <col min="1292" max="1292" width="7.42578125" style="72" customWidth="1"/>
    <col min="1293" max="1293" width="8.140625" style="72" customWidth="1"/>
    <col min="1294" max="1294" width="8.7109375" style="72" customWidth="1"/>
    <col min="1295" max="1295" width="7.42578125" style="72" customWidth="1"/>
    <col min="1296" max="1296" width="7.7109375" style="72" customWidth="1"/>
    <col min="1297" max="1297" width="8.140625" style="72" customWidth="1"/>
    <col min="1298" max="1536" width="7.7109375" style="72"/>
    <col min="1537" max="1537" width="8.7109375" style="72" customWidth="1"/>
    <col min="1538" max="1538" width="10.42578125" style="72" customWidth="1"/>
    <col min="1539" max="1539" width="6.85546875" style="72" customWidth="1"/>
    <col min="1540" max="1540" width="8" style="72" customWidth="1"/>
    <col min="1541" max="1541" width="7.85546875" style="72" customWidth="1"/>
    <col min="1542" max="1542" width="7" style="72" customWidth="1"/>
    <col min="1543" max="1543" width="8.42578125" style="72" customWidth="1"/>
    <col min="1544" max="1544" width="7.42578125" style="72" customWidth="1"/>
    <col min="1545" max="1545" width="7.28515625" style="72" customWidth="1"/>
    <col min="1546" max="1546" width="8.28515625" style="72" customWidth="1"/>
    <col min="1547" max="1547" width="7.5703125" style="72" customWidth="1"/>
    <col min="1548" max="1548" width="7.42578125" style="72" customWidth="1"/>
    <col min="1549" max="1549" width="8.140625" style="72" customWidth="1"/>
    <col min="1550" max="1550" width="8.7109375" style="72" customWidth="1"/>
    <col min="1551" max="1551" width="7.42578125" style="72" customWidth="1"/>
    <col min="1552" max="1552" width="7.7109375" style="72" customWidth="1"/>
    <col min="1553" max="1553" width="8.140625" style="72" customWidth="1"/>
    <col min="1554" max="1792" width="7.7109375" style="72"/>
    <col min="1793" max="1793" width="8.7109375" style="72" customWidth="1"/>
    <col min="1794" max="1794" width="10.42578125" style="72" customWidth="1"/>
    <col min="1795" max="1795" width="6.85546875" style="72" customWidth="1"/>
    <col min="1796" max="1796" width="8" style="72" customWidth="1"/>
    <col min="1797" max="1797" width="7.85546875" style="72" customWidth="1"/>
    <col min="1798" max="1798" width="7" style="72" customWidth="1"/>
    <col min="1799" max="1799" width="8.42578125" style="72" customWidth="1"/>
    <col min="1800" max="1800" width="7.42578125" style="72" customWidth="1"/>
    <col min="1801" max="1801" width="7.28515625" style="72" customWidth="1"/>
    <col min="1802" max="1802" width="8.28515625" style="72" customWidth="1"/>
    <col min="1803" max="1803" width="7.5703125" style="72" customWidth="1"/>
    <col min="1804" max="1804" width="7.42578125" style="72" customWidth="1"/>
    <col min="1805" max="1805" width="8.140625" style="72" customWidth="1"/>
    <col min="1806" max="1806" width="8.7109375" style="72" customWidth="1"/>
    <col min="1807" max="1807" width="7.42578125" style="72" customWidth="1"/>
    <col min="1808" max="1808" width="7.7109375" style="72" customWidth="1"/>
    <col min="1809" max="1809" width="8.140625" style="72" customWidth="1"/>
    <col min="1810" max="2048" width="7.7109375" style="72"/>
    <col min="2049" max="2049" width="8.7109375" style="72" customWidth="1"/>
    <col min="2050" max="2050" width="10.42578125" style="72" customWidth="1"/>
    <col min="2051" max="2051" width="6.85546875" style="72" customWidth="1"/>
    <col min="2052" max="2052" width="8" style="72" customWidth="1"/>
    <col min="2053" max="2053" width="7.85546875" style="72" customWidth="1"/>
    <col min="2054" max="2054" width="7" style="72" customWidth="1"/>
    <col min="2055" max="2055" width="8.42578125" style="72" customWidth="1"/>
    <col min="2056" max="2056" width="7.42578125" style="72" customWidth="1"/>
    <col min="2057" max="2057" width="7.28515625" style="72" customWidth="1"/>
    <col min="2058" max="2058" width="8.28515625" style="72" customWidth="1"/>
    <col min="2059" max="2059" width="7.5703125" style="72" customWidth="1"/>
    <col min="2060" max="2060" width="7.42578125" style="72" customWidth="1"/>
    <col min="2061" max="2061" width="8.140625" style="72" customWidth="1"/>
    <col min="2062" max="2062" width="8.7109375" style="72" customWidth="1"/>
    <col min="2063" max="2063" width="7.42578125" style="72" customWidth="1"/>
    <col min="2064" max="2064" width="7.7109375" style="72" customWidth="1"/>
    <col min="2065" max="2065" width="8.140625" style="72" customWidth="1"/>
    <col min="2066" max="2304" width="7.7109375" style="72"/>
    <col min="2305" max="2305" width="8.7109375" style="72" customWidth="1"/>
    <col min="2306" max="2306" width="10.42578125" style="72" customWidth="1"/>
    <col min="2307" max="2307" width="6.85546875" style="72" customWidth="1"/>
    <col min="2308" max="2308" width="8" style="72" customWidth="1"/>
    <col min="2309" max="2309" width="7.85546875" style="72" customWidth="1"/>
    <col min="2310" max="2310" width="7" style="72" customWidth="1"/>
    <col min="2311" max="2311" width="8.42578125" style="72" customWidth="1"/>
    <col min="2312" max="2312" width="7.42578125" style="72" customWidth="1"/>
    <col min="2313" max="2313" width="7.28515625" style="72" customWidth="1"/>
    <col min="2314" max="2314" width="8.28515625" style="72" customWidth="1"/>
    <col min="2315" max="2315" width="7.5703125" style="72" customWidth="1"/>
    <col min="2316" max="2316" width="7.42578125" style="72" customWidth="1"/>
    <col min="2317" max="2317" width="8.140625" style="72" customWidth="1"/>
    <col min="2318" max="2318" width="8.7109375" style="72" customWidth="1"/>
    <col min="2319" max="2319" width="7.42578125" style="72" customWidth="1"/>
    <col min="2320" max="2320" width="7.7109375" style="72" customWidth="1"/>
    <col min="2321" max="2321" width="8.140625" style="72" customWidth="1"/>
    <col min="2322" max="2560" width="7.7109375" style="72"/>
    <col min="2561" max="2561" width="8.7109375" style="72" customWidth="1"/>
    <col min="2562" max="2562" width="10.42578125" style="72" customWidth="1"/>
    <col min="2563" max="2563" width="6.85546875" style="72" customWidth="1"/>
    <col min="2564" max="2564" width="8" style="72" customWidth="1"/>
    <col min="2565" max="2565" width="7.85546875" style="72" customWidth="1"/>
    <col min="2566" max="2566" width="7" style="72" customWidth="1"/>
    <col min="2567" max="2567" width="8.42578125" style="72" customWidth="1"/>
    <col min="2568" max="2568" width="7.42578125" style="72" customWidth="1"/>
    <col min="2569" max="2569" width="7.28515625" style="72" customWidth="1"/>
    <col min="2570" max="2570" width="8.28515625" style="72" customWidth="1"/>
    <col min="2571" max="2571" width="7.5703125" style="72" customWidth="1"/>
    <col min="2572" max="2572" width="7.42578125" style="72" customWidth="1"/>
    <col min="2573" max="2573" width="8.140625" style="72" customWidth="1"/>
    <col min="2574" max="2574" width="8.7109375" style="72" customWidth="1"/>
    <col min="2575" max="2575" width="7.42578125" style="72" customWidth="1"/>
    <col min="2576" max="2576" width="7.7109375" style="72" customWidth="1"/>
    <col min="2577" max="2577" width="8.140625" style="72" customWidth="1"/>
    <col min="2578" max="2816" width="7.7109375" style="72"/>
    <col min="2817" max="2817" width="8.7109375" style="72" customWidth="1"/>
    <col min="2818" max="2818" width="10.42578125" style="72" customWidth="1"/>
    <col min="2819" max="2819" width="6.85546875" style="72" customWidth="1"/>
    <col min="2820" max="2820" width="8" style="72" customWidth="1"/>
    <col min="2821" max="2821" width="7.85546875" style="72" customWidth="1"/>
    <col min="2822" max="2822" width="7" style="72" customWidth="1"/>
    <col min="2823" max="2823" width="8.42578125" style="72" customWidth="1"/>
    <col min="2824" max="2824" width="7.42578125" style="72" customWidth="1"/>
    <col min="2825" max="2825" width="7.28515625" style="72" customWidth="1"/>
    <col min="2826" max="2826" width="8.28515625" style="72" customWidth="1"/>
    <col min="2827" max="2827" width="7.5703125" style="72" customWidth="1"/>
    <col min="2828" max="2828" width="7.42578125" style="72" customWidth="1"/>
    <col min="2829" max="2829" width="8.140625" style="72" customWidth="1"/>
    <col min="2830" max="2830" width="8.7109375" style="72" customWidth="1"/>
    <col min="2831" max="2831" width="7.42578125" style="72" customWidth="1"/>
    <col min="2832" max="2832" width="7.7109375" style="72" customWidth="1"/>
    <col min="2833" max="2833" width="8.140625" style="72" customWidth="1"/>
    <col min="2834" max="3072" width="7.7109375" style="72"/>
    <col min="3073" max="3073" width="8.7109375" style="72" customWidth="1"/>
    <col min="3074" max="3074" width="10.42578125" style="72" customWidth="1"/>
    <col min="3075" max="3075" width="6.85546875" style="72" customWidth="1"/>
    <col min="3076" max="3076" width="8" style="72" customWidth="1"/>
    <col min="3077" max="3077" width="7.85546875" style="72" customWidth="1"/>
    <col min="3078" max="3078" width="7" style="72" customWidth="1"/>
    <col min="3079" max="3079" width="8.42578125" style="72" customWidth="1"/>
    <col min="3080" max="3080" width="7.42578125" style="72" customWidth="1"/>
    <col min="3081" max="3081" width="7.28515625" style="72" customWidth="1"/>
    <col min="3082" max="3082" width="8.28515625" style="72" customWidth="1"/>
    <col min="3083" max="3083" width="7.5703125" style="72" customWidth="1"/>
    <col min="3084" max="3084" width="7.42578125" style="72" customWidth="1"/>
    <col min="3085" max="3085" width="8.140625" style="72" customWidth="1"/>
    <col min="3086" max="3086" width="8.7109375" style="72" customWidth="1"/>
    <col min="3087" max="3087" width="7.42578125" style="72" customWidth="1"/>
    <col min="3088" max="3088" width="7.7109375" style="72" customWidth="1"/>
    <col min="3089" max="3089" width="8.140625" style="72" customWidth="1"/>
    <col min="3090" max="3328" width="7.7109375" style="72"/>
    <col min="3329" max="3329" width="8.7109375" style="72" customWidth="1"/>
    <col min="3330" max="3330" width="10.42578125" style="72" customWidth="1"/>
    <col min="3331" max="3331" width="6.85546875" style="72" customWidth="1"/>
    <col min="3332" max="3332" width="8" style="72" customWidth="1"/>
    <col min="3333" max="3333" width="7.85546875" style="72" customWidth="1"/>
    <col min="3334" max="3334" width="7" style="72" customWidth="1"/>
    <col min="3335" max="3335" width="8.42578125" style="72" customWidth="1"/>
    <col min="3336" max="3336" width="7.42578125" style="72" customWidth="1"/>
    <col min="3337" max="3337" width="7.28515625" style="72" customWidth="1"/>
    <col min="3338" max="3338" width="8.28515625" style="72" customWidth="1"/>
    <col min="3339" max="3339" width="7.5703125" style="72" customWidth="1"/>
    <col min="3340" max="3340" width="7.42578125" style="72" customWidth="1"/>
    <col min="3341" max="3341" width="8.140625" style="72" customWidth="1"/>
    <col min="3342" max="3342" width="8.7109375" style="72" customWidth="1"/>
    <col min="3343" max="3343" width="7.42578125" style="72" customWidth="1"/>
    <col min="3344" max="3344" width="7.7109375" style="72" customWidth="1"/>
    <col min="3345" max="3345" width="8.140625" style="72" customWidth="1"/>
    <col min="3346" max="3584" width="7.7109375" style="72"/>
    <col min="3585" max="3585" width="8.7109375" style="72" customWidth="1"/>
    <col min="3586" max="3586" width="10.42578125" style="72" customWidth="1"/>
    <col min="3587" max="3587" width="6.85546875" style="72" customWidth="1"/>
    <col min="3588" max="3588" width="8" style="72" customWidth="1"/>
    <col min="3589" max="3589" width="7.85546875" style="72" customWidth="1"/>
    <col min="3590" max="3590" width="7" style="72" customWidth="1"/>
    <col min="3591" max="3591" width="8.42578125" style="72" customWidth="1"/>
    <col min="3592" max="3592" width="7.42578125" style="72" customWidth="1"/>
    <col min="3593" max="3593" width="7.28515625" style="72" customWidth="1"/>
    <col min="3594" max="3594" width="8.28515625" style="72" customWidth="1"/>
    <col min="3595" max="3595" width="7.5703125" style="72" customWidth="1"/>
    <col min="3596" max="3596" width="7.42578125" style="72" customWidth="1"/>
    <col min="3597" max="3597" width="8.140625" style="72" customWidth="1"/>
    <col min="3598" max="3598" width="8.7109375" style="72" customWidth="1"/>
    <col min="3599" max="3599" width="7.42578125" style="72" customWidth="1"/>
    <col min="3600" max="3600" width="7.7109375" style="72" customWidth="1"/>
    <col min="3601" max="3601" width="8.140625" style="72" customWidth="1"/>
    <col min="3602" max="3840" width="7.7109375" style="72"/>
    <col min="3841" max="3841" width="8.7109375" style="72" customWidth="1"/>
    <col min="3842" max="3842" width="10.42578125" style="72" customWidth="1"/>
    <col min="3843" max="3843" width="6.85546875" style="72" customWidth="1"/>
    <col min="3844" max="3844" width="8" style="72" customWidth="1"/>
    <col min="3845" max="3845" width="7.85546875" style="72" customWidth="1"/>
    <col min="3846" max="3846" width="7" style="72" customWidth="1"/>
    <col min="3847" max="3847" width="8.42578125" style="72" customWidth="1"/>
    <col min="3848" max="3848" width="7.42578125" style="72" customWidth="1"/>
    <col min="3849" max="3849" width="7.28515625" style="72" customWidth="1"/>
    <col min="3850" max="3850" width="8.28515625" style="72" customWidth="1"/>
    <col min="3851" max="3851" width="7.5703125" style="72" customWidth="1"/>
    <col min="3852" max="3852" width="7.42578125" style="72" customWidth="1"/>
    <col min="3853" max="3853" width="8.140625" style="72" customWidth="1"/>
    <col min="3854" max="3854" width="8.7109375" style="72" customWidth="1"/>
    <col min="3855" max="3855" width="7.42578125" style="72" customWidth="1"/>
    <col min="3856" max="3856" width="7.7109375" style="72" customWidth="1"/>
    <col min="3857" max="3857" width="8.140625" style="72" customWidth="1"/>
    <col min="3858" max="4096" width="7.7109375" style="72"/>
    <col min="4097" max="4097" width="8.7109375" style="72" customWidth="1"/>
    <col min="4098" max="4098" width="10.42578125" style="72" customWidth="1"/>
    <col min="4099" max="4099" width="6.85546875" style="72" customWidth="1"/>
    <col min="4100" max="4100" width="8" style="72" customWidth="1"/>
    <col min="4101" max="4101" width="7.85546875" style="72" customWidth="1"/>
    <col min="4102" max="4102" width="7" style="72" customWidth="1"/>
    <col min="4103" max="4103" width="8.42578125" style="72" customWidth="1"/>
    <col min="4104" max="4104" width="7.42578125" style="72" customWidth="1"/>
    <col min="4105" max="4105" width="7.28515625" style="72" customWidth="1"/>
    <col min="4106" max="4106" width="8.28515625" style="72" customWidth="1"/>
    <col min="4107" max="4107" width="7.5703125" style="72" customWidth="1"/>
    <col min="4108" max="4108" width="7.42578125" style="72" customWidth="1"/>
    <col min="4109" max="4109" width="8.140625" style="72" customWidth="1"/>
    <col min="4110" max="4110" width="8.7109375" style="72" customWidth="1"/>
    <col min="4111" max="4111" width="7.42578125" style="72" customWidth="1"/>
    <col min="4112" max="4112" width="7.7109375" style="72" customWidth="1"/>
    <col min="4113" max="4113" width="8.140625" style="72" customWidth="1"/>
    <col min="4114" max="4352" width="7.7109375" style="72"/>
    <col min="4353" max="4353" width="8.7109375" style="72" customWidth="1"/>
    <col min="4354" max="4354" width="10.42578125" style="72" customWidth="1"/>
    <col min="4355" max="4355" width="6.85546875" style="72" customWidth="1"/>
    <col min="4356" max="4356" width="8" style="72" customWidth="1"/>
    <col min="4357" max="4357" width="7.85546875" style="72" customWidth="1"/>
    <col min="4358" max="4358" width="7" style="72" customWidth="1"/>
    <col min="4359" max="4359" width="8.42578125" style="72" customWidth="1"/>
    <col min="4360" max="4360" width="7.42578125" style="72" customWidth="1"/>
    <col min="4361" max="4361" width="7.28515625" style="72" customWidth="1"/>
    <col min="4362" max="4362" width="8.28515625" style="72" customWidth="1"/>
    <col min="4363" max="4363" width="7.5703125" style="72" customWidth="1"/>
    <col min="4364" max="4364" width="7.42578125" style="72" customWidth="1"/>
    <col min="4365" max="4365" width="8.140625" style="72" customWidth="1"/>
    <col min="4366" max="4366" width="8.7109375" style="72" customWidth="1"/>
    <col min="4367" max="4367" width="7.42578125" style="72" customWidth="1"/>
    <col min="4368" max="4368" width="7.7109375" style="72" customWidth="1"/>
    <col min="4369" max="4369" width="8.140625" style="72" customWidth="1"/>
    <col min="4370" max="4608" width="7.7109375" style="72"/>
    <col min="4609" max="4609" width="8.7109375" style="72" customWidth="1"/>
    <col min="4610" max="4610" width="10.42578125" style="72" customWidth="1"/>
    <col min="4611" max="4611" width="6.85546875" style="72" customWidth="1"/>
    <col min="4612" max="4612" width="8" style="72" customWidth="1"/>
    <col min="4613" max="4613" width="7.85546875" style="72" customWidth="1"/>
    <col min="4614" max="4614" width="7" style="72" customWidth="1"/>
    <col min="4615" max="4615" width="8.42578125" style="72" customWidth="1"/>
    <col min="4616" max="4616" width="7.42578125" style="72" customWidth="1"/>
    <col min="4617" max="4617" width="7.28515625" style="72" customWidth="1"/>
    <col min="4618" max="4618" width="8.28515625" style="72" customWidth="1"/>
    <col min="4619" max="4619" width="7.5703125" style="72" customWidth="1"/>
    <col min="4620" max="4620" width="7.42578125" style="72" customWidth="1"/>
    <col min="4621" max="4621" width="8.140625" style="72" customWidth="1"/>
    <col min="4622" max="4622" width="8.7109375" style="72" customWidth="1"/>
    <col min="4623" max="4623" width="7.42578125" style="72" customWidth="1"/>
    <col min="4624" max="4624" width="7.7109375" style="72" customWidth="1"/>
    <col min="4625" max="4625" width="8.140625" style="72" customWidth="1"/>
    <col min="4626" max="4864" width="7.7109375" style="72"/>
    <col min="4865" max="4865" width="8.7109375" style="72" customWidth="1"/>
    <col min="4866" max="4866" width="10.42578125" style="72" customWidth="1"/>
    <col min="4867" max="4867" width="6.85546875" style="72" customWidth="1"/>
    <col min="4868" max="4868" width="8" style="72" customWidth="1"/>
    <col min="4869" max="4869" width="7.85546875" style="72" customWidth="1"/>
    <col min="4870" max="4870" width="7" style="72" customWidth="1"/>
    <col min="4871" max="4871" width="8.42578125" style="72" customWidth="1"/>
    <col min="4872" max="4872" width="7.42578125" style="72" customWidth="1"/>
    <col min="4873" max="4873" width="7.28515625" style="72" customWidth="1"/>
    <col min="4874" max="4874" width="8.28515625" style="72" customWidth="1"/>
    <col min="4875" max="4875" width="7.5703125" style="72" customWidth="1"/>
    <col min="4876" max="4876" width="7.42578125" style="72" customWidth="1"/>
    <col min="4877" max="4877" width="8.140625" style="72" customWidth="1"/>
    <col min="4878" max="4878" width="8.7109375" style="72" customWidth="1"/>
    <col min="4879" max="4879" width="7.42578125" style="72" customWidth="1"/>
    <col min="4880" max="4880" width="7.7109375" style="72" customWidth="1"/>
    <col min="4881" max="4881" width="8.140625" style="72" customWidth="1"/>
    <col min="4882" max="5120" width="7.7109375" style="72"/>
    <col min="5121" max="5121" width="8.7109375" style="72" customWidth="1"/>
    <col min="5122" max="5122" width="10.42578125" style="72" customWidth="1"/>
    <col min="5123" max="5123" width="6.85546875" style="72" customWidth="1"/>
    <col min="5124" max="5124" width="8" style="72" customWidth="1"/>
    <col min="5125" max="5125" width="7.85546875" style="72" customWidth="1"/>
    <col min="5126" max="5126" width="7" style="72" customWidth="1"/>
    <col min="5127" max="5127" width="8.42578125" style="72" customWidth="1"/>
    <col min="5128" max="5128" width="7.42578125" style="72" customWidth="1"/>
    <col min="5129" max="5129" width="7.28515625" style="72" customWidth="1"/>
    <col min="5130" max="5130" width="8.28515625" style="72" customWidth="1"/>
    <col min="5131" max="5131" width="7.5703125" style="72" customWidth="1"/>
    <col min="5132" max="5132" width="7.42578125" style="72" customWidth="1"/>
    <col min="5133" max="5133" width="8.140625" style="72" customWidth="1"/>
    <col min="5134" max="5134" width="8.7109375" style="72" customWidth="1"/>
    <col min="5135" max="5135" width="7.42578125" style="72" customWidth="1"/>
    <col min="5136" max="5136" width="7.7109375" style="72" customWidth="1"/>
    <col min="5137" max="5137" width="8.140625" style="72" customWidth="1"/>
    <col min="5138" max="5376" width="7.7109375" style="72"/>
    <col min="5377" max="5377" width="8.7109375" style="72" customWidth="1"/>
    <col min="5378" max="5378" width="10.42578125" style="72" customWidth="1"/>
    <col min="5379" max="5379" width="6.85546875" style="72" customWidth="1"/>
    <col min="5380" max="5380" width="8" style="72" customWidth="1"/>
    <col min="5381" max="5381" width="7.85546875" style="72" customWidth="1"/>
    <col min="5382" max="5382" width="7" style="72" customWidth="1"/>
    <col min="5383" max="5383" width="8.42578125" style="72" customWidth="1"/>
    <col min="5384" max="5384" width="7.42578125" style="72" customWidth="1"/>
    <col min="5385" max="5385" width="7.28515625" style="72" customWidth="1"/>
    <col min="5386" max="5386" width="8.28515625" style="72" customWidth="1"/>
    <col min="5387" max="5387" width="7.5703125" style="72" customWidth="1"/>
    <col min="5388" max="5388" width="7.42578125" style="72" customWidth="1"/>
    <col min="5389" max="5389" width="8.140625" style="72" customWidth="1"/>
    <col min="5390" max="5390" width="8.7109375" style="72" customWidth="1"/>
    <col min="5391" max="5391" width="7.42578125" style="72" customWidth="1"/>
    <col min="5392" max="5392" width="7.7109375" style="72" customWidth="1"/>
    <col min="5393" max="5393" width="8.140625" style="72" customWidth="1"/>
    <col min="5394" max="5632" width="7.7109375" style="72"/>
    <col min="5633" max="5633" width="8.7109375" style="72" customWidth="1"/>
    <col min="5634" max="5634" width="10.42578125" style="72" customWidth="1"/>
    <col min="5635" max="5635" width="6.85546875" style="72" customWidth="1"/>
    <col min="5636" max="5636" width="8" style="72" customWidth="1"/>
    <col min="5637" max="5637" width="7.85546875" style="72" customWidth="1"/>
    <col min="5638" max="5638" width="7" style="72" customWidth="1"/>
    <col min="5639" max="5639" width="8.42578125" style="72" customWidth="1"/>
    <col min="5640" max="5640" width="7.42578125" style="72" customWidth="1"/>
    <col min="5641" max="5641" width="7.28515625" style="72" customWidth="1"/>
    <col min="5642" max="5642" width="8.28515625" style="72" customWidth="1"/>
    <col min="5643" max="5643" width="7.5703125" style="72" customWidth="1"/>
    <col min="5644" max="5644" width="7.42578125" style="72" customWidth="1"/>
    <col min="5645" max="5645" width="8.140625" style="72" customWidth="1"/>
    <col min="5646" max="5646" width="8.7109375" style="72" customWidth="1"/>
    <col min="5647" max="5647" width="7.42578125" style="72" customWidth="1"/>
    <col min="5648" max="5648" width="7.7109375" style="72" customWidth="1"/>
    <col min="5649" max="5649" width="8.140625" style="72" customWidth="1"/>
    <col min="5650" max="5888" width="7.7109375" style="72"/>
    <col min="5889" max="5889" width="8.7109375" style="72" customWidth="1"/>
    <col min="5890" max="5890" width="10.42578125" style="72" customWidth="1"/>
    <col min="5891" max="5891" width="6.85546875" style="72" customWidth="1"/>
    <col min="5892" max="5892" width="8" style="72" customWidth="1"/>
    <col min="5893" max="5893" width="7.85546875" style="72" customWidth="1"/>
    <col min="5894" max="5894" width="7" style="72" customWidth="1"/>
    <col min="5895" max="5895" width="8.42578125" style="72" customWidth="1"/>
    <col min="5896" max="5896" width="7.42578125" style="72" customWidth="1"/>
    <col min="5897" max="5897" width="7.28515625" style="72" customWidth="1"/>
    <col min="5898" max="5898" width="8.28515625" style="72" customWidth="1"/>
    <col min="5899" max="5899" width="7.5703125" style="72" customWidth="1"/>
    <col min="5900" max="5900" width="7.42578125" style="72" customWidth="1"/>
    <col min="5901" max="5901" width="8.140625" style="72" customWidth="1"/>
    <col min="5902" max="5902" width="8.7109375" style="72" customWidth="1"/>
    <col min="5903" max="5903" width="7.42578125" style="72" customWidth="1"/>
    <col min="5904" max="5904" width="7.7109375" style="72" customWidth="1"/>
    <col min="5905" max="5905" width="8.140625" style="72" customWidth="1"/>
    <col min="5906" max="6144" width="7.7109375" style="72"/>
    <col min="6145" max="6145" width="8.7109375" style="72" customWidth="1"/>
    <col min="6146" max="6146" width="10.42578125" style="72" customWidth="1"/>
    <col min="6147" max="6147" width="6.85546875" style="72" customWidth="1"/>
    <col min="6148" max="6148" width="8" style="72" customWidth="1"/>
    <col min="6149" max="6149" width="7.85546875" style="72" customWidth="1"/>
    <col min="6150" max="6150" width="7" style="72" customWidth="1"/>
    <col min="6151" max="6151" width="8.42578125" style="72" customWidth="1"/>
    <col min="6152" max="6152" width="7.42578125" style="72" customWidth="1"/>
    <col min="6153" max="6153" width="7.28515625" style="72" customWidth="1"/>
    <col min="6154" max="6154" width="8.28515625" style="72" customWidth="1"/>
    <col min="6155" max="6155" width="7.5703125" style="72" customWidth="1"/>
    <col min="6156" max="6156" width="7.42578125" style="72" customWidth="1"/>
    <col min="6157" max="6157" width="8.140625" style="72" customWidth="1"/>
    <col min="6158" max="6158" width="8.7109375" style="72" customWidth="1"/>
    <col min="6159" max="6159" width="7.42578125" style="72" customWidth="1"/>
    <col min="6160" max="6160" width="7.7109375" style="72" customWidth="1"/>
    <col min="6161" max="6161" width="8.140625" style="72" customWidth="1"/>
    <col min="6162" max="6400" width="7.7109375" style="72"/>
    <col min="6401" max="6401" width="8.7109375" style="72" customWidth="1"/>
    <col min="6402" max="6402" width="10.42578125" style="72" customWidth="1"/>
    <col min="6403" max="6403" width="6.85546875" style="72" customWidth="1"/>
    <col min="6404" max="6404" width="8" style="72" customWidth="1"/>
    <col min="6405" max="6405" width="7.85546875" style="72" customWidth="1"/>
    <col min="6406" max="6406" width="7" style="72" customWidth="1"/>
    <col min="6407" max="6407" width="8.42578125" style="72" customWidth="1"/>
    <col min="6408" max="6408" width="7.42578125" style="72" customWidth="1"/>
    <col min="6409" max="6409" width="7.28515625" style="72" customWidth="1"/>
    <col min="6410" max="6410" width="8.28515625" style="72" customWidth="1"/>
    <col min="6411" max="6411" width="7.5703125" style="72" customWidth="1"/>
    <col min="6412" max="6412" width="7.42578125" style="72" customWidth="1"/>
    <col min="6413" max="6413" width="8.140625" style="72" customWidth="1"/>
    <col min="6414" max="6414" width="8.7109375" style="72" customWidth="1"/>
    <col min="6415" max="6415" width="7.42578125" style="72" customWidth="1"/>
    <col min="6416" max="6416" width="7.7109375" style="72" customWidth="1"/>
    <col min="6417" max="6417" width="8.140625" style="72" customWidth="1"/>
    <col min="6418" max="6656" width="7.7109375" style="72"/>
    <col min="6657" max="6657" width="8.7109375" style="72" customWidth="1"/>
    <col min="6658" max="6658" width="10.42578125" style="72" customWidth="1"/>
    <col min="6659" max="6659" width="6.85546875" style="72" customWidth="1"/>
    <col min="6660" max="6660" width="8" style="72" customWidth="1"/>
    <col min="6661" max="6661" width="7.85546875" style="72" customWidth="1"/>
    <col min="6662" max="6662" width="7" style="72" customWidth="1"/>
    <col min="6663" max="6663" width="8.42578125" style="72" customWidth="1"/>
    <col min="6664" max="6664" width="7.42578125" style="72" customWidth="1"/>
    <col min="6665" max="6665" width="7.28515625" style="72" customWidth="1"/>
    <col min="6666" max="6666" width="8.28515625" style="72" customWidth="1"/>
    <col min="6667" max="6667" width="7.5703125" style="72" customWidth="1"/>
    <col min="6668" max="6668" width="7.42578125" style="72" customWidth="1"/>
    <col min="6669" max="6669" width="8.140625" style="72" customWidth="1"/>
    <col min="6670" max="6670" width="8.7109375" style="72" customWidth="1"/>
    <col min="6671" max="6671" width="7.42578125" style="72" customWidth="1"/>
    <col min="6672" max="6672" width="7.7109375" style="72" customWidth="1"/>
    <col min="6673" max="6673" width="8.140625" style="72" customWidth="1"/>
    <col min="6674" max="6912" width="7.7109375" style="72"/>
    <col min="6913" max="6913" width="8.7109375" style="72" customWidth="1"/>
    <col min="6914" max="6914" width="10.42578125" style="72" customWidth="1"/>
    <col min="6915" max="6915" width="6.85546875" style="72" customWidth="1"/>
    <col min="6916" max="6916" width="8" style="72" customWidth="1"/>
    <col min="6917" max="6917" width="7.85546875" style="72" customWidth="1"/>
    <col min="6918" max="6918" width="7" style="72" customWidth="1"/>
    <col min="6919" max="6919" width="8.42578125" style="72" customWidth="1"/>
    <col min="6920" max="6920" width="7.42578125" style="72" customWidth="1"/>
    <col min="6921" max="6921" width="7.28515625" style="72" customWidth="1"/>
    <col min="6922" max="6922" width="8.28515625" style="72" customWidth="1"/>
    <col min="6923" max="6923" width="7.5703125" style="72" customWidth="1"/>
    <col min="6924" max="6924" width="7.42578125" style="72" customWidth="1"/>
    <col min="6925" max="6925" width="8.140625" style="72" customWidth="1"/>
    <col min="6926" max="6926" width="8.7109375" style="72" customWidth="1"/>
    <col min="6927" max="6927" width="7.42578125" style="72" customWidth="1"/>
    <col min="6928" max="6928" width="7.7109375" style="72" customWidth="1"/>
    <col min="6929" max="6929" width="8.140625" style="72" customWidth="1"/>
    <col min="6930" max="7168" width="7.7109375" style="72"/>
    <col min="7169" max="7169" width="8.7109375" style="72" customWidth="1"/>
    <col min="7170" max="7170" width="10.42578125" style="72" customWidth="1"/>
    <col min="7171" max="7171" width="6.85546875" style="72" customWidth="1"/>
    <col min="7172" max="7172" width="8" style="72" customWidth="1"/>
    <col min="7173" max="7173" width="7.85546875" style="72" customWidth="1"/>
    <col min="7174" max="7174" width="7" style="72" customWidth="1"/>
    <col min="7175" max="7175" width="8.42578125" style="72" customWidth="1"/>
    <col min="7176" max="7176" width="7.42578125" style="72" customWidth="1"/>
    <col min="7177" max="7177" width="7.28515625" style="72" customWidth="1"/>
    <col min="7178" max="7178" width="8.28515625" style="72" customWidth="1"/>
    <col min="7179" max="7179" width="7.5703125" style="72" customWidth="1"/>
    <col min="7180" max="7180" width="7.42578125" style="72" customWidth="1"/>
    <col min="7181" max="7181" width="8.140625" style="72" customWidth="1"/>
    <col min="7182" max="7182" width="8.7109375" style="72" customWidth="1"/>
    <col min="7183" max="7183" width="7.42578125" style="72" customWidth="1"/>
    <col min="7184" max="7184" width="7.7109375" style="72" customWidth="1"/>
    <col min="7185" max="7185" width="8.140625" style="72" customWidth="1"/>
    <col min="7186" max="7424" width="7.7109375" style="72"/>
    <col min="7425" max="7425" width="8.7109375" style="72" customWidth="1"/>
    <col min="7426" max="7426" width="10.42578125" style="72" customWidth="1"/>
    <col min="7427" max="7427" width="6.85546875" style="72" customWidth="1"/>
    <col min="7428" max="7428" width="8" style="72" customWidth="1"/>
    <col min="7429" max="7429" width="7.85546875" style="72" customWidth="1"/>
    <col min="7430" max="7430" width="7" style="72" customWidth="1"/>
    <col min="7431" max="7431" width="8.42578125" style="72" customWidth="1"/>
    <col min="7432" max="7432" width="7.42578125" style="72" customWidth="1"/>
    <col min="7433" max="7433" width="7.28515625" style="72" customWidth="1"/>
    <col min="7434" max="7434" width="8.28515625" style="72" customWidth="1"/>
    <col min="7435" max="7435" width="7.5703125" style="72" customWidth="1"/>
    <col min="7436" max="7436" width="7.42578125" style="72" customWidth="1"/>
    <col min="7437" max="7437" width="8.140625" style="72" customWidth="1"/>
    <col min="7438" max="7438" width="8.7109375" style="72" customWidth="1"/>
    <col min="7439" max="7439" width="7.42578125" style="72" customWidth="1"/>
    <col min="7440" max="7440" width="7.7109375" style="72" customWidth="1"/>
    <col min="7441" max="7441" width="8.140625" style="72" customWidth="1"/>
    <col min="7442" max="7680" width="7.7109375" style="72"/>
    <col min="7681" max="7681" width="8.7109375" style="72" customWidth="1"/>
    <col min="7682" max="7682" width="10.42578125" style="72" customWidth="1"/>
    <col min="7683" max="7683" width="6.85546875" style="72" customWidth="1"/>
    <col min="7684" max="7684" width="8" style="72" customWidth="1"/>
    <col min="7685" max="7685" width="7.85546875" style="72" customWidth="1"/>
    <col min="7686" max="7686" width="7" style="72" customWidth="1"/>
    <col min="7687" max="7687" width="8.42578125" style="72" customWidth="1"/>
    <col min="7688" max="7688" width="7.42578125" style="72" customWidth="1"/>
    <col min="7689" max="7689" width="7.28515625" style="72" customWidth="1"/>
    <col min="7690" max="7690" width="8.28515625" style="72" customWidth="1"/>
    <col min="7691" max="7691" width="7.5703125" style="72" customWidth="1"/>
    <col min="7692" max="7692" width="7.42578125" style="72" customWidth="1"/>
    <col min="7693" max="7693" width="8.140625" style="72" customWidth="1"/>
    <col min="7694" max="7694" width="8.7109375" style="72" customWidth="1"/>
    <col min="7695" max="7695" width="7.42578125" style="72" customWidth="1"/>
    <col min="7696" max="7696" width="7.7109375" style="72" customWidth="1"/>
    <col min="7697" max="7697" width="8.140625" style="72" customWidth="1"/>
    <col min="7698" max="7936" width="7.7109375" style="72"/>
    <col min="7937" max="7937" width="8.7109375" style="72" customWidth="1"/>
    <col min="7938" max="7938" width="10.42578125" style="72" customWidth="1"/>
    <col min="7939" max="7939" width="6.85546875" style="72" customWidth="1"/>
    <col min="7940" max="7940" width="8" style="72" customWidth="1"/>
    <col min="7941" max="7941" width="7.85546875" style="72" customWidth="1"/>
    <col min="7942" max="7942" width="7" style="72" customWidth="1"/>
    <col min="7943" max="7943" width="8.42578125" style="72" customWidth="1"/>
    <col min="7944" max="7944" width="7.42578125" style="72" customWidth="1"/>
    <col min="7945" max="7945" width="7.28515625" style="72" customWidth="1"/>
    <col min="7946" max="7946" width="8.28515625" style="72" customWidth="1"/>
    <col min="7947" max="7947" width="7.5703125" style="72" customWidth="1"/>
    <col min="7948" max="7948" width="7.42578125" style="72" customWidth="1"/>
    <col min="7949" max="7949" width="8.140625" style="72" customWidth="1"/>
    <col min="7950" max="7950" width="8.7109375" style="72" customWidth="1"/>
    <col min="7951" max="7951" width="7.42578125" style="72" customWidth="1"/>
    <col min="7952" max="7952" width="7.7109375" style="72" customWidth="1"/>
    <col min="7953" max="7953" width="8.140625" style="72" customWidth="1"/>
    <col min="7954" max="8192" width="7.7109375" style="72"/>
    <col min="8193" max="8193" width="8.7109375" style="72" customWidth="1"/>
    <col min="8194" max="8194" width="10.42578125" style="72" customWidth="1"/>
    <col min="8195" max="8195" width="6.85546875" style="72" customWidth="1"/>
    <col min="8196" max="8196" width="8" style="72" customWidth="1"/>
    <col min="8197" max="8197" width="7.85546875" style="72" customWidth="1"/>
    <col min="8198" max="8198" width="7" style="72" customWidth="1"/>
    <col min="8199" max="8199" width="8.42578125" style="72" customWidth="1"/>
    <col min="8200" max="8200" width="7.42578125" style="72" customWidth="1"/>
    <col min="8201" max="8201" width="7.28515625" style="72" customWidth="1"/>
    <col min="8202" max="8202" width="8.28515625" style="72" customWidth="1"/>
    <col min="8203" max="8203" width="7.5703125" style="72" customWidth="1"/>
    <col min="8204" max="8204" width="7.42578125" style="72" customWidth="1"/>
    <col min="8205" max="8205" width="8.140625" style="72" customWidth="1"/>
    <col min="8206" max="8206" width="8.7109375" style="72" customWidth="1"/>
    <col min="8207" max="8207" width="7.42578125" style="72" customWidth="1"/>
    <col min="8208" max="8208" width="7.7109375" style="72" customWidth="1"/>
    <col min="8209" max="8209" width="8.140625" style="72" customWidth="1"/>
    <col min="8210" max="8448" width="7.7109375" style="72"/>
    <col min="8449" max="8449" width="8.7109375" style="72" customWidth="1"/>
    <col min="8450" max="8450" width="10.42578125" style="72" customWidth="1"/>
    <col min="8451" max="8451" width="6.85546875" style="72" customWidth="1"/>
    <col min="8452" max="8452" width="8" style="72" customWidth="1"/>
    <col min="8453" max="8453" width="7.85546875" style="72" customWidth="1"/>
    <col min="8454" max="8454" width="7" style="72" customWidth="1"/>
    <col min="8455" max="8455" width="8.42578125" style="72" customWidth="1"/>
    <col min="8456" max="8456" width="7.42578125" style="72" customWidth="1"/>
    <col min="8457" max="8457" width="7.28515625" style="72" customWidth="1"/>
    <col min="8458" max="8458" width="8.28515625" style="72" customWidth="1"/>
    <col min="8459" max="8459" width="7.5703125" style="72" customWidth="1"/>
    <col min="8460" max="8460" width="7.42578125" style="72" customWidth="1"/>
    <col min="8461" max="8461" width="8.140625" style="72" customWidth="1"/>
    <col min="8462" max="8462" width="8.7109375" style="72" customWidth="1"/>
    <col min="8463" max="8463" width="7.42578125" style="72" customWidth="1"/>
    <col min="8464" max="8464" width="7.7109375" style="72" customWidth="1"/>
    <col min="8465" max="8465" width="8.140625" style="72" customWidth="1"/>
    <col min="8466" max="8704" width="7.7109375" style="72"/>
    <col min="8705" max="8705" width="8.7109375" style="72" customWidth="1"/>
    <col min="8706" max="8706" width="10.42578125" style="72" customWidth="1"/>
    <col min="8707" max="8707" width="6.85546875" style="72" customWidth="1"/>
    <col min="8708" max="8708" width="8" style="72" customWidth="1"/>
    <col min="8709" max="8709" width="7.85546875" style="72" customWidth="1"/>
    <col min="8710" max="8710" width="7" style="72" customWidth="1"/>
    <col min="8711" max="8711" width="8.42578125" style="72" customWidth="1"/>
    <col min="8712" max="8712" width="7.42578125" style="72" customWidth="1"/>
    <col min="8713" max="8713" width="7.28515625" style="72" customWidth="1"/>
    <col min="8714" max="8714" width="8.28515625" style="72" customWidth="1"/>
    <col min="8715" max="8715" width="7.5703125" style="72" customWidth="1"/>
    <col min="8716" max="8716" width="7.42578125" style="72" customWidth="1"/>
    <col min="8717" max="8717" width="8.140625" style="72" customWidth="1"/>
    <col min="8718" max="8718" width="8.7109375" style="72" customWidth="1"/>
    <col min="8719" max="8719" width="7.42578125" style="72" customWidth="1"/>
    <col min="8720" max="8720" width="7.7109375" style="72" customWidth="1"/>
    <col min="8721" max="8721" width="8.140625" style="72" customWidth="1"/>
    <col min="8722" max="8960" width="7.7109375" style="72"/>
    <col min="8961" max="8961" width="8.7109375" style="72" customWidth="1"/>
    <col min="8962" max="8962" width="10.42578125" style="72" customWidth="1"/>
    <col min="8963" max="8963" width="6.85546875" style="72" customWidth="1"/>
    <col min="8964" max="8964" width="8" style="72" customWidth="1"/>
    <col min="8965" max="8965" width="7.85546875" style="72" customWidth="1"/>
    <col min="8966" max="8966" width="7" style="72" customWidth="1"/>
    <col min="8967" max="8967" width="8.42578125" style="72" customWidth="1"/>
    <col min="8968" max="8968" width="7.42578125" style="72" customWidth="1"/>
    <col min="8969" max="8969" width="7.28515625" style="72" customWidth="1"/>
    <col min="8970" max="8970" width="8.28515625" style="72" customWidth="1"/>
    <col min="8971" max="8971" width="7.5703125" style="72" customWidth="1"/>
    <col min="8972" max="8972" width="7.42578125" style="72" customWidth="1"/>
    <col min="8973" max="8973" width="8.140625" style="72" customWidth="1"/>
    <col min="8974" max="8974" width="8.7109375" style="72" customWidth="1"/>
    <col min="8975" max="8975" width="7.42578125" style="72" customWidth="1"/>
    <col min="8976" max="8976" width="7.7109375" style="72" customWidth="1"/>
    <col min="8977" max="8977" width="8.140625" style="72" customWidth="1"/>
    <col min="8978" max="9216" width="7.7109375" style="72"/>
    <col min="9217" max="9217" width="8.7109375" style="72" customWidth="1"/>
    <col min="9218" max="9218" width="10.42578125" style="72" customWidth="1"/>
    <col min="9219" max="9219" width="6.85546875" style="72" customWidth="1"/>
    <col min="9220" max="9220" width="8" style="72" customWidth="1"/>
    <col min="9221" max="9221" width="7.85546875" style="72" customWidth="1"/>
    <col min="9222" max="9222" width="7" style="72" customWidth="1"/>
    <col min="9223" max="9223" width="8.42578125" style="72" customWidth="1"/>
    <col min="9224" max="9224" width="7.42578125" style="72" customWidth="1"/>
    <col min="9225" max="9225" width="7.28515625" style="72" customWidth="1"/>
    <col min="9226" max="9226" width="8.28515625" style="72" customWidth="1"/>
    <col min="9227" max="9227" width="7.5703125" style="72" customWidth="1"/>
    <col min="9228" max="9228" width="7.42578125" style="72" customWidth="1"/>
    <col min="9229" max="9229" width="8.140625" style="72" customWidth="1"/>
    <col min="9230" max="9230" width="8.7109375" style="72" customWidth="1"/>
    <col min="9231" max="9231" width="7.42578125" style="72" customWidth="1"/>
    <col min="9232" max="9232" width="7.7109375" style="72" customWidth="1"/>
    <col min="9233" max="9233" width="8.140625" style="72" customWidth="1"/>
    <col min="9234" max="9472" width="7.7109375" style="72"/>
    <col min="9473" max="9473" width="8.7109375" style="72" customWidth="1"/>
    <col min="9474" max="9474" width="10.42578125" style="72" customWidth="1"/>
    <col min="9475" max="9475" width="6.85546875" style="72" customWidth="1"/>
    <col min="9476" max="9476" width="8" style="72" customWidth="1"/>
    <col min="9477" max="9477" width="7.85546875" style="72" customWidth="1"/>
    <col min="9478" max="9478" width="7" style="72" customWidth="1"/>
    <col min="9479" max="9479" width="8.42578125" style="72" customWidth="1"/>
    <col min="9480" max="9480" width="7.42578125" style="72" customWidth="1"/>
    <col min="9481" max="9481" width="7.28515625" style="72" customWidth="1"/>
    <col min="9482" max="9482" width="8.28515625" style="72" customWidth="1"/>
    <col min="9483" max="9483" width="7.5703125" style="72" customWidth="1"/>
    <col min="9484" max="9484" width="7.42578125" style="72" customWidth="1"/>
    <col min="9485" max="9485" width="8.140625" style="72" customWidth="1"/>
    <col min="9486" max="9486" width="8.7109375" style="72" customWidth="1"/>
    <col min="9487" max="9487" width="7.42578125" style="72" customWidth="1"/>
    <col min="9488" max="9488" width="7.7109375" style="72" customWidth="1"/>
    <col min="9489" max="9489" width="8.140625" style="72" customWidth="1"/>
    <col min="9490" max="9728" width="7.7109375" style="72"/>
    <col min="9729" max="9729" width="8.7109375" style="72" customWidth="1"/>
    <col min="9730" max="9730" width="10.42578125" style="72" customWidth="1"/>
    <col min="9731" max="9731" width="6.85546875" style="72" customWidth="1"/>
    <col min="9732" max="9732" width="8" style="72" customWidth="1"/>
    <col min="9733" max="9733" width="7.85546875" style="72" customWidth="1"/>
    <col min="9734" max="9734" width="7" style="72" customWidth="1"/>
    <col min="9735" max="9735" width="8.42578125" style="72" customWidth="1"/>
    <col min="9736" max="9736" width="7.42578125" style="72" customWidth="1"/>
    <col min="9737" max="9737" width="7.28515625" style="72" customWidth="1"/>
    <col min="9738" max="9738" width="8.28515625" style="72" customWidth="1"/>
    <col min="9739" max="9739" width="7.5703125" style="72" customWidth="1"/>
    <col min="9740" max="9740" width="7.42578125" style="72" customWidth="1"/>
    <col min="9741" max="9741" width="8.140625" style="72" customWidth="1"/>
    <col min="9742" max="9742" width="8.7109375" style="72" customWidth="1"/>
    <col min="9743" max="9743" width="7.42578125" style="72" customWidth="1"/>
    <col min="9744" max="9744" width="7.7109375" style="72" customWidth="1"/>
    <col min="9745" max="9745" width="8.140625" style="72" customWidth="1"/>
    <col min="9746" max="9984" width="7.7109375" style="72"/>
    <col min="9985" max="9985" width="8.7109375" style="72" customWidth="1"/>
    <col min="9986" max="9986" width="10.42578125" style="72" customWidth="1"/>
    <col min="9987" max="9987" width="6.85546875" style="72" customWidth="1"/>
    <col min="9988" max="9988" width="8" style="72" customWidth="1"/>
    <col min="9989" max="9989" width="7.85546875" style="72" customWidth="1"/>
    <col min="9990" max="9990" width="7" style="72" customWidth="1"/>
    <col min="9991" max="9991" width="8.42578125" style="72" customWidth="1"/>
    <col min="9992" max="9992" width="7.42578125" style="72" customWidth="1"/>
    <col min="9993" max="9993" width="7.28515625" style="72" customWidth="1"/>
    <col min="9994" max="9994" width="8.28515625" style="72" customWidth="1"/>
    <col min="9995" max="9995" width="7.5703125" style="72" customWidth="1"/>
    <col min="9996" max="9996" width="7.42578125" style="72" customWidth="1"/>
    <col min="9997" max="9997" width="8.140625" style="72" customWidth="1"/>
    <col min="9998" max="9998" width="8.7109375" style="72" customWidth="1"/>
    <col min="9999" max="9999" width="7.42578125" style="72" customWidth="1"/>
    <col min="10000" max="10000" width="7.7109375" style="72" customWidth="1"/>
    <col min="10001" max="10001" width="8.140625" style="72" customWidth="1"/>
    <col min="10002" max="10240" width="7.7109375" style="72"/>
    <col min="10241" max="10241" width="8.7109375" style="72" customWidth="1"/>
    <col min="10242" max="10242" width="10.42578125" style="72" customWidth="1"/>
    <col min="10243" max="10243" width="6.85546875" style="72" customWidth="1"/>
    <col min="10244" max="10244" width="8" style="72" customWidth="1"/>
    <col min="10245" max="10245" width="7.85546875" style="72" customWidth="1"/>
    <col min="10246" max="10246" width="7" style="72" customWidth="1"/>
    <col min="10247" max="10247" width="8.42578125" style="72" customWidth="1"/>
    <col min="10248" max="10248" width="7.42578125" style="72" customWidth="1"/>
    <col min="10249" max="10249" width="7.28515625" style="72" customWidth="1"/>
    <col min="10250" max="10250" width="8.28515625" style="72" customWidth="1"/>
    <col min="10251" max="10251" width="7.5703125" style="72" customWidth="1"/>
    <col min="10252" max="10252" width="7.42578125" style="72" customWidth="1"/>
    <col min="10253" max="10253" width="8.140625" style="72" customWidth="1"/>
    <col min="10254" max="10254" width="8.7109375" style="72" customWidth="1"/>
    <col min="10255" max="10255" width="7.42578125" style="72" customWidth="1"/>
    <col min="10256" max="10256" width="7.7109375" style="72" customWidth="1"/>
    <col min="10257" max="10257" width="8.140625" style="72" customWidth="1"/>
    <col min="10258" max="10496" width="7.7109375" style="72"/>
    <col min="10497" max="10497" width="8.7109375" style="72" customWidth="1"/>
    <col min="10498" max="10498" width="10.42578125" style="72" customWidth="1"/>
    <col min="10499" max="10499" width="6.85546875" style="72" customWidth="1"/>
    <col min="10500" max="10500" width="8" style="72" customWidth="1"/>
    <col min="10501" max="10501" width="7.85546875" style="72" customWidth="1"/>
    <col min="10502" max="10502" width="7" style="72" customWidth="1"/>
    <col min="10503" max="10503" width="8.42578125" style="72" customWidth="1"/>
    <col min="10504" max="10504" width="7.42578125" style="72" customWidth="1"/>
    <col min="10505" max="10505" width="7.28515625" style="72" customWidth="1"/>
    <col min="10506" max="10506" width="8.28515625" style="72" customWidth="1"/>
    <col min="10507" max="10507" width="7.5703125" style="72" customWidth="1"/>
    <col min="10508" max="10508" width="7.42578125" style="72" customWidth="1"/>
    <col min="10509" max="10509" width="8.140625" style="72" customWidth="1"/>
    <col min="10510" max="10510" width="8.7109375" style="72" customWidth="1"/>
    <col min="10511" max="10511" width="7.42578125" style="72" customWidth="1"/>
    <col min="10512" max="10512" width="7.7109375" style="72" customWidth="1"/>
    <col min="10513" max="10513" width="8.140625" style="72" customWidth="1"/>
    <col min="10514" max="10752" width="7.7109375" style="72"/>
    <col min="10753" max="10753" width="8.7109375" style="72" customWidth="1"/>
    <col min="10754" max="10754" width="10.42578125" style="72" customWidth="1"/>
    <col min="10755" max="10755" width="6.85546875" style="72" customWidth="1"/>
    <col min="10756" max="10756" width="8" style="72" customWidth="1"/>
    <col min="10757" max="10757" width="7.85546875" style="72" customWidth="1"/>
    <col min="10758" max="10758" width="7" style="72" customWidth="1"/>
    <col min="10759" max="10759" width="8.42578125" style="72" customWidth="1"/>
    <col min="10760" max="10760" width="7.42578125" style="72" customWidth="1"/>
    <col min="10761" max="10761" width="7.28515625" style="72" customWidth="1"/>
    <col min="10762" max="10762" width="8.28515625" style="72" customWidth="1"/>
    <col min="10763" max="10763" width="7.5703125" style="72" customWidth="1"/>
    <col min="10764" max="10764" width="7.42578125" style="72" customWidth="1"/>
    <col min="10765" max="10765" width="8.140625" style="72" customWidth="1"/>
    <col min="10766" max="10766" width="8.7109375" style="72" customWidth="1"/>
    <col min="10767" max="10767" width="7.42578125" style="72" customWidth="1"/>
    <col min="10768" max="10768" width="7.7109375" style="72" customWidth="1"/>
    <col min="10769" max="10769" width="8.140625" style="72" customWidth="1"/>
    <col min="10770" max="11008" width="7.7109375" style="72"/>
    <col min="11009" max="11009" width="8.7109375" style="72" customWidth="1"/>
    <col min="11010" max="11010" width="10.42578125" style="72" customWidth="1"/>
    <col min="11011" max="11011" width="6.85546875" style="72" customWidth="1"/>
    <col min="11012" max="11012" width="8" style="72" customWidth="1"/>
    <col min="11013" max="11013" width="7.85546875" style="72" customWidth="1"/>
    <col min="11014" max="11014" width="7" style="72" customWidth="1"/>
    <col min="11015" max="11015" width="8.42578125" style="72" customWidth="1"/>
    <col min="11016" max="11016" width="7.42578125" style="72" customWidth="1"/>
    <col min="11017" max="11017" width="7.28515625" style="72" customWidth="1"/>
    <col min="11018" max="11018" width="8.28515625" style="72" customWidth="1"/>
    <col min="11019" max="11019" width="7.5703125" style="72" customWidth="1"/>
    <col min="11020" max="11020" width="7.42578125" style="72" customWidth="1"/>
    <col min="11021" max="11021" width="8.140625" style="72" customWidth="1"/>
    <col min="11022" max="11022" width="8.7109375" style="72" customWidth="1"/>
    <col min="11023" max="11023" width="7.42578125" style="72" customWidth="1"/>
    <col min="11024" max="11024" width="7.7109375" style="72" customWidth="1"/>
    <col min="11025" max="11025" width="8.140625" style="72" customWidth="1"/>
    <col min="11026" max="11264" width="7.7109375" style="72"/>
    <col min="11265" max="11265" width="8.7109375" style="72" customWidth="1"/>
    <col min="11266" max="11266" width="10.42578125" style="72" customWidth="1"/>
    <col min="11267" max="11267" width="6.85546875" style="72" customWidth="1"/>
    <col min="11268" max="11268" width="8" style="72" customWidth="1"/>
    <col min="11269" max="11269" width="7.85546875" style="72" customWidth="1"/>
    <col min="11270" max="11270" width="7" style="72" customWidth="1"/>
    <col min="11271" max="11271" width="8.42578125" style="72" customWidth="1"/>
    <col min="11272" max="11272" width="7.42578125" style="72" customWidth="1"/>
    <col min="11273" max="11273" width="7.28515625" style="72" customWidth="1"/>
    <col min="11274" max="11274" width="8.28515625" style="72" customWidth="1"/>
    <col min="11275" max="11275" width="7.5703125" style="72" customWidth="1"/>
    <col min="11276" max="11276" width="7.42578125" style="72" customWidth="1"/>
    <col min="11277" max="11277" width="8.140625" style="72" customWidth="1"/>
    <col min="11278" max="11278" width="8.7109375" style="72" customWidth="1"/>
    <col min="11279" max="11279" width="7.42578125" style="72" customWidth="1"/>
    <col min="11280" max="11280" width="7.7109375" style="72" customWidth="1"/>
    <col min="11281" max="11281" width="8.140625" style="72" customWidth="1"/>
    <col min="11282" max="11520" width="7.7109375" style="72"/>
    <col min="11521" max="11521" width="8.7109375" style="72" customWidth="1"/>
    <col min="11522" max="11522" width="10.42578125" style="72" customWidth="1"/>
    <col min="11523" max="11523" width="6.85546875" style="72" customWidth="1"/>
    <col min="11524" max="11524" width="8" style="72" customWidth="1"/>
    <col min="11525" max="11525" width="7.85546875" style="72" customWidth="1"/>
    <col min="11526" max="11526" width="7" style="72" customWidth="1"/>
    <col min="11527" max="11527" width="8.42578125" style="72" customWidth="1"/>
    <col min="11528" max="11528" width="7.42578125" style="72" customWidth="1"/>
    <col min="11529" max="11529" width="7.28515625" style="72" customWidth="1"/>
    <col min="11530" max="11530" width="8.28515625" style="72" customWidth="1"/>
    <col min="11531" max="11531" width="7.5703125" style="72" customWidth="1"/>
    <col min="11532" max="11532" width="7.42578125" style="72" customWidth="1"/>
    <col min="11533" max="11533" width="8.140625" style="72" customWidth="1"/>
    <col min="11534" max="11534" width="8.7109375" style="72" customWidth="1"/>
    <col min="11535" max="11535" width="7.42578125" style="72" customWidth="1"/>
    <col min="11536" max="11536" width="7.7109375" style="72" customWidth="1"/>
    <col min="11537" max="11537" width="8.140625" style="72" customWidth="1"/>
    <col min="11538" max="11776" width="7.7109375" style="72"/>
    <col min="11777" max="11777" width="8.7109375" style="72" customWidth="1"/>
    <col min="11778" max="11778" width="10.42578125" style="72" customWidth="1"/>
    <col min="11779" max="11779" width="6.85546875" style="72" customWidth="1"/>
    <col min="11780" max="11780" width="8" style="72" customWidth="1"/>
    <col min="11781" max="11781" width="7.85546875" style="72" customWidth="1"/>
    <col min="11782" max="11782" width="7" style="72" customWidth="1"/>
    <col min="11783" max="11783" width="8.42578125" style="72" customWidth="1"/>
    <col min="11784" max="11784" width="7.42578125" style="72" customWidth="1"/>
    <col min="11785" max="11785" width="7.28515625" style="72" customWidth="1"/>
    <col min="11786" max="11786" width="8.28515625" style="72" customWidth="1"/>
    <col min="11787" max="11787" width="7.5703125" style="72" customWidth="1"/>
    <col min="11788" max="11788" width="7.42578125" style="72" customWidth="1"/>
    <col min="11789" max="11789" width="8.140625" style="72" customWidth="1"/>
    <col min="11790" max="11790" width="8.7109375" style="72" customWidth="1"/>
    <col min="11791" max="11791" width="7.42578125" style="72" customWidth="1"/>
    <col min="11792" max="11792" width="7.7109375" style="72" customWidth="1"/>
    <col min="11793" max="11793" width="8.140625" style="72" customWidth="1"/>
    <col min="11794" max="12032" width="7.7109375" style="72"/>
    <col min="12033" max="12033" width="8.7109375" style="72" customWidth="1"/>
    <col min="12034" max="12034" width="10.42578125" style="72" customWidth="1"/>
    <col min="12035" max="12035" width="6.85546875" style="72" customWidth="1"/>
    <col min="12036" max="12036" width="8" style="72" customWidth="1"/>
    <col min="12037" max="12037" width="7.85546875" style="72" customWidth="1"/>
    <col min="12038" max="12038" width="7" style="72" customWidth="1"/>
    <col min="12039" max="12039" width="8.42578125" style="72" customWidth="1"/>
    <col min="12040" max="12040" width="7.42578125" style="72" customWidth="1"/>
    <col min="12041" max="12041" width="7.28515625" style="72" customWidth="1"/>
    <col min="12042" max="12042" width="8.28515625" style="72" customWidth="1"/>
    <col min="12043" max="12043" width="7.5703125" style="72" customWidth="1"/>
    <col min="12044" max="12044" width="7.42578125" style="72" customWidth="1"/>
    <col min="12045" max="12045" width="8.140625" style="72" customWidth="1"/>
    <col min="12046" max="12046" width="8.7109375" style="72" customWidth="1"/>
    <col min="12047" max="12047" width="7.42578125" style="72" customWidth="1"/>
    <col min="12048" max="12048" width="7.7109375" style="72" customWidth="1"/>
    <col min="12049" max="12049" width="8.140625" style="72" customWidth="1"/>
    <col min="12050" max="12288" width="7.7109375" style="72"/>
    <col min="12289" max="12289" width="8.7109375" style="72" customWidth="1"/>
    <col min="12290" max="12290" width="10.42578125" style="72" customWidth="1"/>
    <col min="12291" max="12291" width="6.85546875" style="72" customWidth="1"/>
    <col min="12292" max="12292" width="8" style="72" customWidth="1"/>
    <col min="12293" max="12293" width="7.85546875" style="72" customWidth="1"/>
    <col min="12294" max="12294" width="7" style="72" customWidth="1"/>
    <col min="12295" max="12295" width="8.42578125" style="72" customWidth="1"/>
    <col min="12296" max="12296" width="7.42578125" style="72" customWidth="1"/>
    <col min="12297" max="12297" width="7.28515625" style="72" customWidth="1"/>
    <col min="12298" max="12298" width="8.28515625" style="72" customWidth="1"/>
    <col min="12299" max="12299" width="7.5703125" style="72" customWidth="1"/>
    <col min="12300" max="12300" width="7.42578125" style="72" customWidth="1"/>
    <col min="12301" max="12301" width="8.140625" style="72" customWidth="1"/>
    <col min="12302" max="12302" width="8.7109375" style="72" customWidth="1"/>
    <col min="12303" max="12303" width="7.42578125" style="72" customWidth="1"/>
    <col min="12304" max="12304" width="7.7109375" style="72" customWidth="1"/>
    <col min="12305" max="12305" width="8.140625" style="72" customWidth="1"/>
    <col min="12306" max="12544" width="7.7109375" style="72"/>
    <col min="12545" max="12545" width="8.7109375" style="72" customWidth="1"/>
    <col min="12546" max="12546" width="10.42578125" style="72" customWidth="1"/>
    <col min="12547" max="12547" width="6.85546875" style="72" customWidth="1"/>
    <col min="12548" max="12548" width="8" style="72" customWidth="1"/>
    <col min="12549" max="12549" width="7.85546875" style="72" customWidth="1"/>
    <col min="12550" max="12550" width="7" style="72" customWidth="1"/>
    <col min="12551" max="12551" width="8.42578125" style="72" customWidth="1"/>
    <col min="12552" max="12552" width="7.42578125" style="72" customWidth="1"/>
    <col min="12553" max="12553" width="7.28515625" style="72" customWidth="1"/>
    <col min="12554" max="12554" width="8.28515625" style="72" customWidth="1"/>
    <col min="12555" max="12555" width="7.5703125" style="72" customWidth="1"/>
    <col min="12556" max="12556" width="7.42578125" style="72" customWidth="1"/>
    <col min="12557" max="12557" width="8.140625" style="72" customWidth="1"/>
    <col min="12558" max="12558" width="8.7109375" style="72" customWidth="1"/>
    <col min="12559" max="12559" width="7.42578125" style="72" customWidth="1"/>
    <col min="12560" max="12560" width="7.7109375" style="72" customWidth="1"/>
    <col min="12561" max="12561" width="8.140625" style="72" customWidth="1"/>
    <col min="12562" max="12800" width="7.7109375" style="72"/>
    <col min="12801" max="12801" width="8.7109375" style="72" customWidth="1"/>
    <col min="12802" max="12802" width="10.42578125" style="72" customWidth="1"/>
    <col min="12803" max="12803" width="6.85546875" style="72" customWidth="1"/>
    <col min="12804" max="12804" width="8" style="72" customWidth="1"/>
    <col min="12805" max="12805" width="7.85546875" style="72" customWidth="1"/>
    <col min="12806" max="12806" width="7" style="72" customWidth="1"/>
    <col min="12807" max="12807" width="8.42578125" style="72" customWidth="1"/>
    <col min="12808" max="12808" width="7.42578125" style="72" customWidth="1"/>
    <col min="12809" max="12809" width="7.28515625" style="72" customWidth="1"/>
    <col min="12810" max="12810" width="8.28515625" style="72" customWidth="1"/>
    <col min="12811" max="12811" width="7.5703125" style="72" customWidth="1"/>
    <col min="12812" max="12812" width="7.42578125" style="72" customWidth="1"/>
    <col min="12813" max="12813" width="8.140625" style="72" customWidth="1"/>
    <col min="12814" max="12814" width="8.7109375" style="72" customWidth="1"/>
    <col min="12815" max="12815" width="7.42578125" style="72" customWidth="1"/>
    <col min="12816" max="12816" width="7.7109375" style="72" customWidth="1"/>
    <col min="12817" max="12817" width="8.140625" style="72" customWidth="1"/>
    <col min="12818" max="13056" width="7.7109375" style="72"/>
    <col min="13057" max="13057" width="8.7109375" style="72" customWidth="1"/>
    <col min="13058" max="13058" width="10.42578125" style="72" customWidth="1"/>
    <col min="13059" max="13059" width="6.85546875" style="72" customWidth="1"/>
    <col min="13060" max="13060" width="8" style="72" customWidth="1"/>
    <col min="13061" max="13061" width="7.85546875" style="72" customWidth="1"/>
    <col min="13062" max="13062" width="7" style="72" customWidth="1"/>
    <col min="13063" max="13063" width="8.42578125" style="72" customWidth="1"/>
    <col min="13064" max="13064" width="7.42578125" style="72" customWidth="1"/>
    <col min="13065" max="13065" width="7.28515625" style="72" customWidth="1"/>
    <col min="13066" max="13066" width="8.28515625" style="72" customWidth="1"/>
    <col min="13067" max="13067" width="7.5703125" style="72" customWidth="1"/>
    <col min="13068" max="13068" width="7.42578125" style="72" customWidth="1"/>
    <col min="13069" max="13069" width="8.140625" style="72" customWidth="1"/>
    <col min="13070" max="13070" width="8.7109375" style="72" customWidth="1"/>
    <col min="13071" max="13071" width="7.42578125" style="72" customWidth="1"/>
    <col min="13072" max="13072" width="7.7109375" style="72" customWidth="1"/>
    <col min="13073" max="13073" width="8.140625" style="72" customWidth="1"/>
    <col min="13074" max="13312" width="7.7109375" style="72"/>
    <col min="13313" max="13313" width="8.7109375" style="72" customWidth="1"/>
    <col min="13314" max="13314" width="10.42578125" style="72" customWidth="1"/>
    <col min="13315" max="13315" width="6.85546875" style="72" customWidth="1"/>
    <col min="13316" max="13316" width="8" style="72" customWidth="1"/>
    <col min="13317" max="13317" width="7.85546875" style="72" customWidth="1"/>
    <col min="13318" max="13318" width="7" style="72" customWidth="1"/>
    <col min="13319" max="13319" width="8.42578125" style="72" customWidth="1"/>
    <col min="13320" max="13320" width="7.42578125" style="72" customWidth="1"/>
    <col min="13321" max="13321" width="7.28515625" style="72" customWidth="1"/>
    <col min="13322" max="13322" width="8.28515625" style="72" customWidth="1"/>
    <col min="13323" max="13323" width="7.5703125" style="72" customWidth="1"/>
    <col min="13324" max="13324" width="7.42578125" style="72" customWidth="1"/>
    <col min="13325" max="13325" width="8.140625" style="72" customWidth="1"/>
    <col min="13326" max="13326" width="8.7109375" style="72" customWidth="1"/>
    <col min="13327" max="13327" width="7.42578125" style="72" customWidth="1"/>
    <col min="13328" max="13328" width="7.7109375" style="72" customWidth="1"/>
    <col min="13329" max="13329" width="8.140625" style="72" customWidth="1"/>
    <col min="13330" max="13568" width="7.7109375" style="72"/>
    <col min="13569" max="13569" width="8.7109375" style="72" customWidth="1"/>
    <col min="13570" max="13570" width="10.42578125" style="72" customWidth="1"/>
    <col min="13571" max="13571" width="6.85546875" style="72" customWidth="1"/>
    <col min="13572" max="13572" width="8" style="72" customWidth="1"/>
    <col min="13573" max="13573" width="7.85546875" style="72" customWidth="1"/>
    <col min="13574" max="13574" width="7" style="72" customWidth="1"/>
    <col min="13575" max="13575" width="8.42578125" style="72" customWidth="1"/>
    <col min="13576" max="13576" width="7.42578125" style="72" customWidth="1"/>
    <col min="13577" max="13577" width="7.28515625" style="72" customWidth="1"/>
    <col min="13578" max="13578" width="8.28515625" style="72" customWidth="1"/>
    <col min="13579" max="13579" width="7.5703125" style="72" customWidth="1"/>
    <col min="13580" max="13580" width="7.42578125" style="72" customWidth="1"/>
    <col min="13581" max="13581" width="8.140625" style="72" customWidth="1"/>
    <col min="13582" max="13582" width="8.7109375" style="72" customWidth="1"/>
    <col min="13583" max="13583" width="7.42578125" style="72" customWidth="1"/>
    <col min="13584" max="13584" width="7.7109375" style="72" customWidth="1"/>
    <col min="13585" max="13585" width="8.140625" style="72" customWidth="1"/>
    <col min="13586" max="13824" width="7.7109375" style="72"/>
    <col min="13825" max="13825" width="8.7109375" style="72" customWidth="1"/>
    <col min="13826" max="13826" width="10.42578125" style="72" customWidth="1"/>
    <col min="13827" max="13827" width="6.85546875" style="72" customWidth="1"/>
    <col min="13828" max="13828" width="8" style="72" customWidth="1"/>
    <col min="13829" max="13829" width="7.85546875" style="72" customWidth="1"/>
    <col min="13830" max="13830" width="7" style="72" customWidth="1"/>
    <col min="13831" max="13831" width="8.42578125" style="72" customWidth="1"/>
    <col min="13832" max="13832" width="7.42578125" style="72" customWidth="1"/>
    <col min="13833" max="13833" width="7.28515625" style="72" customWidth="1"/>
    <col min="13834" max="13834" width="8.28515625" style="72" customWidth="1"/>
    <col min="13835" max="13835" width="7.5703125" style="72" customWidth="1"/>
    <col min="13836" max="13836" width="7.42578125" style="72" customWidth="1"/>
    <col min="13837" max="13837" width="8.140625" style="72" customWidth="1"/>
    <col min="13838" max="13838" width="8.7109375" style="72" customWidth="1"/>
    <col min="13839" max="13839" width="7.42578125" style="72" customWidth="1"/>
    <col min="13840" max="13840" width="7.7109375" style="72" customWidth="1"/>
    <col min="13841" max="13841" width="8.140625" style="72" customWidth="1"/>
    <col min="13842" max="14080" width="7.7109375" style="72"/>
    <col min="14081" max="14081" width="8.7109375" style="72" customWidth="1"/>
    <col min="14082" max="14082" width="10.42578125" style="72" customWidth="1"/>
    <col min="14083" max="14083" width="6.85546875" style="72" customWidth="1"/>
    <col min="14084" max="14084" width="8" style="72" customWidth="1"/>
    <col min="14085" max="14085" width="7.85546875" style="72" customWidth="1"/>
    <col min="14086" max="14086" width="7" style="72" customWidth="1"/>
    <col min="14087" max="14087" width="8.42578125" style="72" customWidth="1"/>
    <col min="14088" max="14088" width="7.42578125" style="72" customWidth="1"/>
    <col min="14089" max="14089" width="7.28515625" style="72" customWidth="1"/>
    <col min="14090" max="14090" width="8.28515625" style="72" customWidth="1"/>
    <col min="14091" max="14091" width="7.5703125" style="72" customWidth="1"/>
    <col min="14092" max="14092" width="7.42578125" style="72" customWidth="1"/>
    <col min="14093" max="14093" width="8.140625" style="72" customWidth="1"/>
    <col min="14094" max="14094" width="8.7109375" style="72" customWidth="1"/>
    <col min="14095" max="14095" width="7.42578125" style="72" customWidth="1"/>
    <col min="14096" max="14096" width="7.7109375" style="72" customWidth="1"/>
    <col min="14097" max="14097" width="8.140625" style="72" customWidth="1"/>
    <col min="14098" max="14336" width="7.7109375" style="72"/>
    <col min="14337" max="14337" width="8.7109375" style="72" customWidth="1"/>
    <col min="14338" max="14338" width="10.42578125" style="72" customWidth="1"/>
    <col min="14339" max="14339" width="6.85546875" style="72" customWidth="1"/>
    <col min="14340" max="14340" width="8" style="72" customWidth="1"/>
    <col min="14341" max="14341" width="7.85546875" style="72" customWidth="1"/>
    <col min="14342" max="14342" width="7" style="72" customWidth="1"/>
    <col min="14343" max="14343" width="8.42578125" style="72" customWidth="1"/>
    <col min="14344" max="14344" width="7.42578125" style="72" customWidth="1"/>
    <col min="14345" max="14345" width="7.28515625" style="72" customWidth="1"/>
    <col min="14346" max="14346" width="8.28515625" style="72" customWidth="1"/>
    <col min="14347" max="14347" width="7.5703125" style="72" customWidth="1"/>
    <col min="14348" max="14348" width="7.42578125" style="72" customWidth="1"/>
    <col min="14349" max="14349" width="8.140625" style="72" customWidth="1"/>
    <col min="14350" max="14350" width="8.7109375" style="72" customWidth="1"/>
    <col min="14351" max="14351" width="7.42578125" style="72" customWidth="1"/>
    <col min="14352" max="14352" width="7.7109375" style="72" customWidth="1"/>
    <col min="14353" max="14353" width="8.140625" style="72" customWidth="1"/>
    <col min="14354" max="14592" width="7.7109375" style="72"/>
    <col min="14593" max="14593" width="8.7109375" style="72" customWidth="1"/>
    <col min="14594" max="14594" width="10.42578125" style="72" customWidth="1"/>
    <col min="14595" max="14595" width="6.85546875" style="72" customWidth="1"/>
    <col min="14596" max="14596" width="8" style="72" customWidth="1"/>
    <col min="14597" max="14597" width="7.85546875" style="72" customWidth="1"/>
    <col min="14598" max="14598" width="7" style="72" customWidth="1"/>
    <col min="14599" max="14599" width="8.42578125" style="72" customWidth="1"/>
    <col min="14600" max="14600" width="7.42578125" style="72" customWidth="1"/>
    <col min="14601" max="14601" width="7.28515625" style="72" customWidth="1"/>
    <col min="14602" max="14602" width="8.28515625" style="72" customWidth="1"/>
    <col min="14603" max="14603" width="7.5703125" style="72" customWidth="1"/>
    <col min="14604" max="14604" width="7.42578125" style="72" customWidth="1"/>
    <col min="14605" max="14605" width="8.140625" style="72" customWidth="1"/>
    <col min="14606" max="14606" width="8.7109375" style="72" customWidth="1"/>
    <col min="14607" max="14607" width="7.42578125" style="72" customWidth="1"/>
    <col min="14608" max="14608" width="7.7109375" style="72" customWidth="1"/>
    <col min="14609" max="14609" width="8.140625" style="72" customWidth="1"/>
    <col min="14610" max="14848" width="7.7109375" style="72"/>
    <col min="14849" max="14849" width="8.7109375" style="72" customWidth="1"/>
    <col min="14850" max="14850" width="10.42578125" style="72" customWidth="1"/>
    <col min="14851" max="14851" width="6.85546875" style="72" customWidth="1"/>
    <col min="14852" max="14852" width="8" style="72" customWidth="1"/>
    <col min="14853" max="14853" width="7.85546875" style="72" customWidth="1"/>
    <col min="14854" max="14854" width="7" style="72" customWidth="1"/>
    <col min="14855" max="14855" width="8.42578125" style="72" customWidth="1"/>
    <col min="14856" max="14856" width="7.42578125" style="72" customWidth="1"/>
    <col min="14857" max="14857" width="7.28515625" style="72" customWidth="1"/>
    <col min="14858" max="14858" width="8.28515625" style="72" customWidth="1"/>
    <col min="14859" max="14859" width="7.5703125" style="72" customWidth="1"/>
    <col min="14860" max="14860" width="7.42578125" style="72" customWidth="1"/>
    <col min="14861" max="14861" width="8.140625" style="72" customWidth="1"/>
    <col min="14862" max="14862" width="8.7109375" style="72" customWidth="1"/>
    <col min="14863" max="14863" width="7.42578125" style="72" customWidth="1"/>
    <col min="14864" max="14864" width="7.7109375" style="72" customWidth="1"/>
    <col min="14865" max="14865" width="8.140625" style="72" customWidth="1"/>
    <col min="14866" max="15104" width="7.7109375" style="72"/>
    <col min="15105" max="15105" width="8.7109375" style="72" customWidth="1"/>
    <col min="15106" max="15106" width="10.42578125" style="72" customWidth="1"/>
    <col min="15107" max="15107" width="6.85546875" style="72" customWidth="1"/>
    <col min="15108" max="15108" width="8" style="72" customWidth="1"/>
    <col min="15109" max="15109" width="7.85546875" style="72" customWidth="1"/>
    <col min="15110" max="15110" width="7" style="72" customWidth="1"/>
    <col min="15111" max="15111" width="8.42578125" style="72" customWidth="1"/>
    <col min="15112" max="15112" width="7.42578125" style="72" customWidth="1"/>
    <col min="15113" max="15113" width="7.28515625" style="72" customWidth="1"/>
    <col min="15114" max="15114" width="8.28515625" style="72" customWidth="1"/>
    <col min="15115" max="15115" width="7.5703125" style="72" customWidth="1"/>
    <col min="15116" max="15116" width="7.42578125" style="72" customWidth="1"/>
    <col min="15117" max="15117" width="8.140625" style="72" customWidth="1"/>
    <col min="15118" max="15118" width="8.7109375" style="72" customWidth="1"/>
    <col min="15119" max="15119" width="7.42578125" style="72" customWidth="1"/>
    <col min="15120" max="15120" width="7.7109375" style="72" customWidth="1"/>
    <col min="15121" max="15121" width="8.140625" style="72" customWidth="1"/>
    <col min="15122" max="15360" width="7.7109375" style="72"/>
    <col min="15361" max="15361" width="8.7109375" style="72" customWidth="1"/>
    <col min="15362" max="15362" width="10.42578125" style="72" customWidth="1"/>
    <col min="15363" max="15363" width="6.85546875" style="72" customWidth="1"/>
    <col min="15364" max="15364" width="8" style="72" customWidth="1"/>
    <col min="15365" max="15365" width="7.85546875" style="72" customWidth="1"/>
    <col min="15366" max="15366" width="7" style="72" customWidth="1"/>
    <col min="15367" max="15367" width="8.42578125" style="72" customWidth="1"/>
    <col min="15368" max="15368" width="7.42578125" style="72" customWidth="1"/>
    <col min="15369" max="15369" width="7.28515625" style="72" customWidth="1"/>
    <col min="15370" max="15370" width="8.28515625" style="72" customWidth="1"/>
    <col min="15371" max="15371" width="7.5703125" style="72" customWidth="1"/>
    <col min="15372" max="15372" width="7.42578125" style="72" customWidth="1"/>
    <col min="15373" max="15373" width="8.140625" style="72" customWidth="1"/>
    <col min="15374" max="15374" width="8.7109375" style="72" customWidth="1"/>
    <col min="15375" max="15375" width="7.42578125" style="72" customWidth="1"/>
    <col min="15376" max="15376" width="7.7109375" style="72" customWidth="1"/>
    <col min="15377" max="15377" width="8.140625" style="72" customWidth="1"/>
    <col min="15378" max="15616" width="7.7109375" style="72"/>
    <col min="15617" max="15617" width="8.7109375" style="72" customWidth="1"/>
    <col min="15618" max="15618" width="10.42578125" style="72" customWidth="1"/>
    <col min="15619" max="15619" width="6.85546875" style="72" customWidth="1"/>
    <col min="15620" max="15620" width="8" style="72" customWidth="1"/>
    <col min="15621" max="15621" width="7.85546875" style="72" customWidth="1"/>
    <col min="15622" max="15622" width="7" style="72" customWidth="1"/>
    <col min="15623" max="15623" width="8.42578125" style="72" customWidth="1"/>
    <col min="15624" max="15624" width="7.42578125" style="72" customWidth="1"/>
    <col min="15625" max="15625" width="7.28515625" style="72" customWidth="1"/>
    <col min="15626" max="15626" width="8.28515625" style="72" customWidth="1"/>
    <col min="15627" max="15627" width="7.5703125" style="72" customWidth="1"/>
    <col min="15628" max="15628" width="7.42578125" style="72" customWidth="1"/>
    <col min="15629" max="15629" width="8.140625" style="72" customWidth="1"/>
    <col min="15630" max="15630" width="8.7109375" style="72" customWidth="1"/>
    <col min="15631" max="15631" width="7.42578125" style="72" customWidth="1"/>
    <col min="15632" max="15632" width="7.7109375" style="72" customWidth="1"/>
    <col min="15633" max="15633" width="8.140625" style="72" customWidth="1"/>
    <col min="15634" max="15872" width="7.7109375" style="72"/>
    <col min="15873" max="15873" width="8.7109375" style="72" customWidth="1"/>
    <col min="15874" max="15874" width="10.42578125" style="72" customWidth="1"/>
    <col min="15875" max="15875" width="6.85546875" style="72" customWidth="1"/>
    <col min="15876" max="15876" width="8" style="72" customWidth="1"/>
    <col min="15877" max="15877" width="7.85546875" style="72" customWidth="1"/>
    <col min="15878" max="15878" width="7" style="72" customWidth="1"/>
    <col min="15879" max="15879" width="8.42578125" style="72" customWidth="1"/>
    <col min="15880" max="15880" width="7.42578125" style="72" customWidth="1"/>
    <col min="15881" max="15881" width="7.28515625" style="72" customWidth="1"/>
    <col min="15882" max="15882" width="8.28515625" style="72" customWidth="1"/>
    <col min="15883" max="15883" width="7.5703125" style="72" customWidth="1"/>
    <col min="15884" max="15884" width="7.42578125" style="72" customWidth="1"/>
    <col min="15885" max="15885" width="8.140625" style="72" customWidth="1"/>
    <col min="15886" max="15886" width="8.7109375" style="72" customWidth="1"/>
    <col min="15887" max="15887" width="7.42578125" style="72" customWidth="1"/>
    <col min="15888" max="15888" width="7.7109375" style="72" customWidth="1"/>
    <col min="15889" max="15889" width="8.140625" style="72" customWidth="1"/>
    <col min="15890" max="16128" width="7.7109375" style="72"/>
    <col min="16129" max="16129" width="8.7109375" style="72" customWidth="1"/>
    <col min="16130" max="16130" width="10.42578125" style="72" customWidth="1"/>
    <col min="16131" max="16131" width="6.85546875" style="72" customWidth="1"/>
    <col min="16132" max="16132" width="8" style="72" customWidth="1"/>
    <col min="16133" max="16133" width="7.85546875" style="72" customWidth="1"/>
    <col min="16134" max="16134" width="7" style="72" customWidth="1"/>
    <col min="16135" max="16135" width="8.42578125" style="72" customWidth="1"/>
    <col min="16136" max="16136" width="7.42578125" style="72" customWidth="1"/>
    <col min="16137" max="16137" width="7.28515625" style="72" customWidth="1"/>
    <col min="16138" max="16138" width="8.28515625" style="72" customWidth="1"/>
    <col min="16139" max="16139" width="7.5703125" style="72" customWidth="1"/>
    <col min="16140" max="16140" width="7.42578125" style="72" customWidth="1"/>
    <col min="16141" max="16141" width="8.140625" style="72" customWidth="1"/>
    <col min="16142" max="16142" width="8.7109375" style="72" customWidth="1"/>
    <col min="16143" max="16143" width="7.42578125" style="72" customWidth="1"/>
    <col min="16144" max="16144" width="7.7109375" style="72" customWidth="1"/>
    <col min="16145" max="16145" width="8.140625" style="72" customWidth="1"/>
    <col min="16146" max="16384" width="7.7109375" style="72"/>
  </cols>
  <sheetData>
    <row r="1" spans="1:14" s="372" customFormat="1" ht="22.5" customHeight="1">
      <c r="A1" s="371" t="s">
        <v>225</v>
      </c>
    </row>
    <row r="2" spans="1:14" ht="11.25" customHeight="1"/>
    <row r="3" spans="1:14" s="643" customFormat="1" ht="23.25" customHeight="1">
      <c r="A3" s="807" t="s">
        <v>558</v>
      </c>
      <c r="B3" s="807"/>
      <c r="C3" s="807"/>
      <c r="D3" s="807"/>
      <c r="E3" s="807"/>
      <c r="F3" s="807"/>
      <c r="G3" s="807"/>
      <c r="H3" s="807"/>
      <c r="I3" s="807"/>
      <c r="J3" s="807"/>
      <c r="K3" s="807"/>
      <c r="L3" s="807"/>
      <c r="M3" s="807"/>
      <c r="N3" s="807"/>
    </row>
    <row r="4" spans="1:14">
      <c r="A4" s="275"/>
      <c r="B4" s="275"/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</row>
    <row r="5" spans="1:14" ht="21" customHeight="1">
      <c r="A5" s="801" t="s">
        <v>559</v>
      </c>
      <c r="B5" s="810" t="s">
        <v>560</v>
      </c>
      <c r="C5" s="811"/>
      <c r="D5" s="811"/>
      <c r="E5" s="811"/>
      <c r="F5" s="811"/>
      <c r="G5" s="811"/>
      <c r="H5" s="811"/>
      <c r="I5" s="811"/>
      <c r="J5" s="811"/>
      <c r="K5" s="811"/>
      <c r="L5" s="811"/>
      <c r="M5" s="811"/>
      <c r="N5" s="812"/>
    </row>
    <row r="6" spans="1:14" s="643" customFormat="1" ht="20.25" customHeight="1">
      <c r="A6" s="818"/>
      <c r="B6" s="819" t="s">
        <v>561</v>
      </c>
      <c r="C6" s="819"/>
      <c r="D6" s="819" t="s">
        <v>562</v>
      </c>
      <c r="E6" s="819"/>
      <c r="F6" s="819" t="s">
        <v>563</v>
      </c>
      <c r="G6" s="819"/>
      <c r="H6" s="819" t="s">
        <v>564</v>
      </c>
      <c r="I6" s="819"/>
      <c r="J6" s="819" t="s">
        <v>565</v>
      </c>
      <c r="K6" s="819"/>
      <c r="L6" s="819" t="s">
        <v>195</v>
      </c>
      <c r="M6" s="819"/>
      <c r="N6" s="820" t="s">
        <v>56</v>
      </c>
    </row>
    <row r="7" spans="1:14" ht="57" customHeight="1">
      <c r="A7" s="802"/>
      <c r="B7" s="276" t="s">
        <v>566</v>
      </c>
      <c r="C7" s="276" t="s">
        <v>567</v>
      </c>
      <c r="D7" s="276" t="s">
        <v>566</v>
      </c>
      <c r="E7" s="276" t="s">
        <v>567</v>
      </c>
      <c r="F7" s="276" t="s">
        <v>566</v>
      </c>
      <c r="G7" s="276" t="s">
        <v>567</v>
      </c>
      <c r="H7" s="276" t="s">
        <v>566</v>
      </c>
      <c r="I7" s="276" t="s">
        <v>567</v>
      </c>
      <c r="J7" s="276" t="s">
        <v>566</v>
      </c>
      <c r="K7" s="276" t="s">
        <v>567</v>
      </c>
      <c r="L7" s="276" t="s">
        <v>566</v>
      </c>
      <c r="M7" s="276" t="s">
        <v>567</v>
      </c>
      <c r="N7" s="821"/>
    </row>
    <row r="8" spans="1:14">
      <c r="A8" s="278" t="s">
        <v>568</v>
      </c>
      <c r="B8" s="373">
        <v>1621</v>
      </c>
      <c r="C8" s="373">
        <v>1678</v>
      </c>
      <c r="D8" s="373">
        <v>5906</v>
      </c>
      <c r="E8" s="373">
        <v>8315</v>
      </c>
      <c r="F8" s="373">
        <v>7400</v>
      </c>
      <c r="G8" s="373">
        <v>8258</v>
      </c>
      <c r="H8" s="373">
        <v>7292</v>
      </c>
      <c r="I8" s="373">
        <v>7398</v>
      </c>
      <c r="J8" s="373">
        <v>3292</v>
      </c>
      <c r="K8" s="373">
        <v>3427</v>
      </c>
      <c r="L8" s="373">
        <v>49</v>
      </c>
      <c r="M8" s="373">
        <v>88</v>
      </c>
      <c r="N8" s="376">
        <v>54724</v>
      </c>
    </row>
    <row r="9" spans="1:14">
      <c r="A9" s="278" t="s">
        <v>569</v>
      </c>
      <c r="B9" s="373">
        <v>3155</v>
      </c>
      <c r="C9" s="373">
        <v>2834</v>
      </c>
      <c r="D9" s="373">
        <v>11867</v>
      </c>
      <c r="E9" s="373">
        <v>13288</v>
      </c>
      <c r="F9" s="373">
        <v>16206</v>
      </c>
      <c r="G9" s="373">
        <v>14100</v>
      </c>
      <c r="H9" s="373">
        <v>19236</v>
      </c>
      <c r="I9" s="373">
        <v>13921</v>
      </c>
      <c r="J9" s="373">
        <v>8665</v>
      </c>
      <c r="K9" s="373">
        <v>6620</v>
      </c>
      <c r="L9" s="373">
        <v>57</v>
      </c>
      <c r="M9" s="373">
        <v>134</v>
      </c>
      <c r="N9" s="376">
        <v>110083</v>
      </c>
    </row>
    <row r="10" spans="1:14">
      <c r="A10" s="278" t="s">
        <v>497</v>
      </c>
      <c r="B10" s="373">
        <v>1428</v>
      </c>
      <c r="C10" s="373">
        <v>1231</v>
      </c>
      <c r="D10" s="373">
        <v>5874</v>
      </c>
      <c r="E10" s="373">
        <v>5746</v>
      </c>
      <c r="F10" s="373">
        <v>8492</v>
      </c>
      <c r="G10" s="373">
        <v>5709</v>
      </c>
      <c r="H10" s="373">
        <v>10435</v>
      </c>
      <c r="I10" s="373">
        <v>5987</v>
      </c>
      <c r="J10" s="373">
        <v>4744</v>
      </c>
      <c r="K10" s="373">
        <v>3031</v>
      </c>
      <c r="L10" s="373">
        <v>29</v>
      </c>
      <c r="M10" s="373">
        <v>38</v>
      </c>
      <c r="N10" s="376">
        <v>52744</v>
      </c>
    </row>
    <row r="11" spans="1:14">
      <c r="A11" s="278" t="s">
        <v>498</v>
      </c>
      <c r="B11" s="373">
        <v>1221</v>
      </c>
      <c r="C11" s="373">
        <v>1230</v>
      </c>
      <c r="D11" s="373">
        <v>5577</v>
      </c>
      <c r="E11" s="373">
        <v>6714</v>
      </c>
      <c r="F11" s="373">
        <v>7230</v>
      </c>
      <c r="G11" s="373">
        <v>7738</v>
      </c>
      <c r="H11" s="373">
        <v>9287</v>
      </c>
      <c r="I11" s="373">
        <v>9268</v>
      </c>
      <c r="J11" s="373">
        <v>4321</v>
      </c>
      <c r="K11" s="373">
        <v>4072</v>
      </c>
      <c r="L11" s="373">
        <v>33</v>
      </c>
      <c r="M11" s="373">
        <v>55</v>
      </c>
      <c r="N11" s="376">
        <v>56746</v>
      </c>
    </row>
    <row r="12" spans="1:14">
      <c r="A12" s="278" t="s">
        <v>499</v>
      </c>
      <c r="B12" s="373">
        <v>975</v>
      </c>
      <c r="C12" s="373">
        <v>1079</v>
      </c>
      <c r="D12" s="373">
        <v>5456</v>
      </c>
      <c r="E12" s="373">
        <v>5441</v>
      </c>
      <c r="F12" s="373">
        <v>6696</v>
      </c>
      <c r="G12" s="373">
        <v>5920</v>
      </c>
      <c r="H12" s="373">
        <v>8315</v>
      </c>
      <c r="I12" s="373">
        <v>6823</v>
      </c>
      <c r="J12" s="373">
        <v>4000</v>
      </c>
      <c r="K12" s="373">
        <v>3454</v>
      </c>
      <c r="L12" s="373">
        <v>30</v>
      </c>
      <c r="M12" s="373">
        <v>43</v>
      </c>
      <c r="N12" s="376">
        <v>48232</v>
      </c>
    </row>
    <row r="13" spans="1:14">
      <c r="A13" s="278" t="s">
        <v>500</v>
      </c>
      <c r="B13" s="373">
        <v>798</v>
      </c>
      <c r="C13" s="373">
        <v>932</v>
      </c>
      <c r="D13" s="373">
        <v>4814</v>
      </c>
      <c r="E13" s="373">
        <v>4165</v>
      </c>
      <c r="F13" s="373">
        <v>5930</v>
      </c>
      <c r="G13" s="373">
        <v>3729</v>
      </c>
      <c r="H13" s="373">
        <v>7174</v>
      </c>
      <c r="I13" s="373">
        <v>4311</v>
      </c>
      <c r="J13" s="373">
        <v>3334</v>
      </c>
      <c r="K13" s="373">
        <v>2300</v>
      </c>
      <c r="L13" s="373">
        <v>20</v>
      </c>
      <c r="M13" s="373">
        <v>38</v>
      </c>
      <c r="N13" s="376">
        <v>37545</v>
      </c>
    </row>
    <row r="14" spans="1:14">
      <c r="A14" s="278" t="s">
        <v>529</v>
      </c>
      <c r="B14" s="373">
        <v>1105</v>
      </c>
      <c r="C14" s="373">
        <v>1841</v>
      </c>
      <c r="D14" s="373">
        <v>9590</v>
      </c>
      <c r="E14" s="373">
        <v>9642</v>
      </c>
      <c r="F14" s="373">
        <v>11254</v>
      </c>
      <c r="G14" s="373">
        <v>7601</v>
      </c>
      <c r="H14" s="373">
        <v>12381</v>
      </c>
      <c r="I14" s="373">
        <v>8294</v>
      </c>
      <c r="J14" s="373">
        <v>5543</v>
      </c>
      <c r="K14" s="373">
        <v>4710</v>
      </c>
      <c r="L14" s="373">
        <v>41</v>
      </c>
      <c r="M14" s="373">
        <v>97</v>
      </c>
      <c r="N14" s="376">
        <v>72099</v>
      </c>
    </row>
    <row r="15" spans="1:14">
      <c r="A15" s="278" t="s">
        <v>501</v>
      </c>
      <c r="B15" s="373">
        <v>530</v>
      </c>
      <c r="C15" s="373">
        <v>1171</v>
      </c>
      <c r="D15" s="373">
        <v>7322</v>
      </c>
      <c r="E15" s="373">
        <v>8345</v>
      </c>
      <c r="F15" s="373">
        <v>9544</v>
      </c>
      <c r="G15" s="373">
        <v>6818</v>
      </c>
      <c r="H15" s="373">
        <v>11208</v>
      </c>
      <c r="I15" s="373">
        <v>7113</v>
      </c>
      <c r="J15" s="373">
        <v>5507</v>
      </c>
      <c r="K15" s="373">
        <v>3931</v>
      </c>
      <c r="L15" s="373">
        <v>25</v>
      </c>
      <c r="M15" s="373">
        <v>66</v>
      </c>
      <c r="N15" s="376">
        <v>61580</v>
      </c>
    </row>
    <row r="16" spans="1:14">
      <c r="A16" s="278" t="s">
        <v>502</v>
      </c>
      <c r="B16" s="373">
        <v>294</v>
      </c>
      <c r="C16" s="373">
        <v>742</v>
      </c>
      <c r="D16" s="373">
        <v>6215</v>
      </c>
      <c r="E16" s="373">
        <v>8327</v>
      </c>
      <c r="F16" s="373">
        <v>8273</v>
      </c>
      <c r="G16" s="373">
        <v>7474</v>
      </c>
      <c r="H16" s="373">
        <v>9208</v>
      </c>
      <c r="I16" s="373">
        <v>7029</v>
      </c>
      <c r="J16" s="373">
        <v>4592</v>
      </c>
      <c r="K16" s="373">
        <v>3950</v>
      </c>
      <c r="L16" s="373">
        <v>35</v>
      </c>
      <c r="M16" s="373">
        <v>59</v>
      </c>
      <c r="N16" s="376">
        <v>56198</v>
      </c>
    </row>
    <row r="17" spans="1:14">
      <c r="A17" s="278" t="s">
        <v>528</v>
      </c>
      <c r="B17" s="373">
        <v>153</v>
      </c>
      <c r="C17" s="373">
        <v>402</v>
      </c>
      <c r="D17" s="373">
        <v>4360</v>
      </c>
      <c r="E17" s="373">
        <v>6110</v>
      </c>
      <c r="F17" s="373">
        <v>6520</v>
      </c>
      <c r="G17" s="373">
        <v>6364</v>
      </c>
      <c r="H17" s="373">
        <v>7409</v>
      </c>
      <c r="I17" s="373">
        <v>5642</v>
      </c>
      <c r="J17" s="373">
        <v>3694</v>
      </c>
      <c r="K17" s="373">
        <v>2909</v>
      </c>
      <c r="L17" s="373">
        <v>36</v>
      </c>
      <c r="M17" s="373">
        <v>57</v>
      </c>
      <c r="N17" s="376">
        <v>43656</v>
      </c>
    </row>
    <row r="18" spans="1:14">
      <c r="A18" s="278" t="s">
        <v>527</v>
      </c>
      <c r="B18" s="373">
        <v>77</v>
      </c>
      <c r="C18" s="373">
        <v>309</v>
      </c>
      <c r="D18" s="373">
        <v>3344</v>
      </c>
      <c r="E18" s="373">
        <v>5324</v>
      </c>
      <c r="F18" s="373">
        <v>5153</v>
      </c>
      <c r="G18" s="373">
        <v>5433</v>
      </c>
      <c r="H18" s="373">
        <v>5786</v>
      </c>
      <c r="I18" s="373">
        <v>4713</v>
      </c>
      <c r="J18" s="373">
        <v>2878</v>
      </c>
      <c r="K18" s="373">
        <v>2393</v>
      </c>
      <c r="L18" s="373">
        <v>25</v>
      </c>
      <c r="M18" s="373">
        <v>45</v>
      </c>
      <c r="N18" s="376">
        <v>35480</v>
      </c>
    </row>
    <row r="19" spans="1:14">
      <c r="A19" s="278" t="s">
        <v>526</v>
      </c>
      <c r="B19" s="373">
        <v>82</v>
      </c>
      <c r="C19" s="373">
        <v>366</v>
      </c>
      <c r="D19" s="373">
        <v>5693</v>
      </c>
      <c r="E19" s="373">
        <v>9720</v>
      </c>
      <c r="F19" s="373">
        <v>8450</v>
      </c>
      <c r="G19" s="373">
        <v>11118</v>
      </c>
      <c r="H19" s="373">
        <v>8970</v>
      </c>
      <c r="I19" s="373">
        <v>8295</v>
      </c>
      <c r="J19" s="373">
        <v>4483</v>
      </c>
      <c r="K19" s="373">
        <v>4437</v>
      </c>
      <c r="L19" s="373">
        <v>39</v>
      </c>
      <c r="M19" s="373">
        <v>90</v>
      </c>
      <c r="N19" s="376">
        <v>61743</v>
      </c>
    </row>
    <row r="20" spans="1:14">
      <c r="A20" s="278" t="s">
        <v>525</v>
      </c>
      <c r="B20" s="373">
        <v>24</v>
      </c>
      <c r="C20" s="373">
        <v>107</v>
      </c>
      <c r="D20" s="373">
        <v>2652</v>
      </c>
      <c r="E20" s="373">
        <v>5129</v>
      </c>
      <c r="F20" s="373">
        <v>3984</v>
      </c>
      <c r="G20" s="373">
        <v>6268</v>
      </c>
      <c r="H20" s="373">
        <v>3658</v>
      </c>
      <c r="I20" s="373">
        <v>4177</v>
      </c>
      <c r="J20" s="373">
        <v>1992</v>
      </c>
      <c r="K20" s="373">
        <v>2381</v>
      </c>
      <c r="L20" s="373">
        <v>22</v>
      </c>
      <c r="M20" s="373">
        <v>72</v>
      </c>
      <c r="N20" s="376">
        <v>30466</v>
      </c>
    </row>
    <row r="21" spans="1:14">
      <c r="A21" s="278" t="s">
        <v>503</v>
      </c>
      <c r="B21" s="373">
        <v>7</v>
      </c>
      <c r="C21" s="373">
        <v>45</v>
      </c>
      <c r="D21" s="373">
        <v>1433</v>
      </c>
      <c r="E21" s="373">
        <v>3142</v>
      </c>
      <c r="F21" s="373">
        <v>2583</v>
      </c>
      <c r="G21" s="373">
        <v>4229</v>
      </c>
      <c r="H21" s="373">
        <v>2224</v>
      </c>
      <c r="I21" s="373">
        <v>2728</v>
      </c>
      <c r="J21" s="373">
        <v>1137</v>
      </c>
      <c r="K21" s="373">
        <v>1467</v>
      </c>
      <c r="L21" s="373">
        <v>11</v>
      </c>
      <c r="M21" s="373">
        <v>58</v>
      </c>
      <c r="N21" s="376">
        <v>19064</v>
      </c>
    </row>
    <row r="22" spans="1:14">
      <c r="A22" s="278" t="s">
        <v>524</v>
      </c>
      <c r="B22" s="373">
        <v>7</v>
      </c>
      <c r="C22" s="373">
        <v>26</v>
      </c>
      <c r="D22" s="373">
        <v>1009</v>
      </c>
      <c r="E22" s="373">
        <v>2737</v>
      </c>
      <c r="F22" s="373">
        <v>2370</v>
      </c>
      <c r="G22" s="373">
        <v>4241</v>
      </c>
      <c r="H22" s="373">
        <v>1889</v>
      </c>
      <c r="I22" s="373">
        <v>2655</v>
      </c>
      <c r="J22" s="373">
        <v>921</v>
      </c>
      <c r="K22" s="373">
        <v>1484</v>
      </c>
      <c r="L22" s="373">
        <v>14</v>
      </c>
      <c r="M22" s="373">
        <v>50</v>
      </c>
      <c r="N22" s="376">
        <v>17403</v>
      </c>
    </row>
    <row r="23" spans="1:14">
      <c r="A23" s="278" t="s">
        <v>570</v>
      </c>
      <c r="B23" s="373">
        <v>0</v>
      </c>
      <c r="C23" s="373">
        <v>6</v>
      </c>
      <c r="D23" s="373">
        <v>224</v>
      </c>
      <c r="E23" s="373">
        <v>699</v>
      </c>
      <c r="F23" s="373">
        <v>687</v>
      </c>
      <c r="G23" s="373">
        <v>1496</v>
      </c>
      <c r="H23" s="373">
        <v>458</v>
      </c>
      <c r="I23" s="373">
        <v>794</v>
      </c>
      <c r="J23" s="373">
        <v>182</v>
      </c>
      <c r="K23" s="373">
        <v>479</v>
      </c>
      <c r="L23" s="373">
        <v>3</v>
      </c>
      <c r="M23" s="373">
        <v>28</v>
      </c>
      <c r="N23" s="376">
        <v>5056</v>
      </c>
    </row>
    <row r="24" spans="1:14">
      <c r="A24" s="278" t="s">
        <v>571</v>
      </c>
      <c r="B24" s="373">
        <v>0</v>
      </c>
      <c r="C24" s="373">
        <v>2</v>
      </c>
      <c r="D24" s="373">
        <v>75</v>
      </c>
      <c r="E24" s="373">
        <v>230</v>
      </c>
      <c r="F24" s="373">
        <v>226</v>
      </c>
      <c r="G24" s="373">
        <v>589</v>
      </c>
      <c r="H24" s="373">
        <v>163</v>
      </c>
      <c r="I24" s="373">
        <v>346</v>
      </c>
      <c r="J24" s="373">
        <v>60</v>
      </c>
      <c r="K24" s="373">
        <v>175</v>
      </c>
      <c r="L24" s="373">
        <v>3</v>
      </c>
      <c r="M24" s="373">
        <v>13</v>
      </c>
      <c r="N24" s="376">
        <v>1882</v>
      </c>
    </row>
    <row r="25" spans="1:14">
      <c r="A25" s="278" t="s">
        <v>572</v>
      </c>
      <c r="B25" s="373">
        <v>0</v>
      </c>
      <c r="C25" s="373">
        <v>0</v>
      </c>
      <c r="D25" s="373">
        <v>79</v>
      </c>
      <c r="E25" s="373">
        <v>243</v>
      </c>
      <c r="F25" s="373">
        <v>272</v>
      </c>
      <c r="G25" s="373">
        <v>854</v>
      </c>
      <c r="H25" s="373">
        <v>193</v>
      </c>
      <c r="I25" s="373">
        <v>545</v>
      </c>
      <c r="J25" s="373">
        <v>88</v>
      </c>
      <c r="K25" s="373">
        <v>256</v>
      </c>
      <c r="L25" s="373">
        <v>2</v>
      </c>
      <c r="M25" s="373">
        <v>29</v>
      </c>
      <c r="N25" s="376">
        <v>2561</v>
      </c>
    </row>
    <row r="26" spans="1:14" ht="31.5">
      <c r="A26" s="375" t="s">
        <v>573</v>
      </c>
      <c r="B26" s="374">
        <v>7070</v>
      </c>
      <c r="C26" s="374">
        <v>7068</v>
      </c>
      <c r="D26" s="374">
        <v>72967</v>
      </c>
      <c r="E26" s="374">
        <v>63762</v>
      </c>
      <c r="F26" s="374">
        <v>54920</v>
      </c>
      <c r="G26" s="374">
        <v>56130</v>
      </c>
      <c r="H26" s="374">
        <v>39681</v>
      </c>
      <c r="I26" s="374">
        <v>42662</v>
      </c>
      <c r="J26" s="374">
        <v>24355</v>
      </c>
      <c r="K26" s="374">
        <v>25451</v>
      </c>
      <c r="L26" s="374">
        <v>500</v>
      </c>
      <c r="M26" s="374">
        <v>1191</v>
      </c>
      <c r="N26" s="377">
        <v>395757</v>
      </c>
    </row>
    <row r="27" spans="1:14">
      <c r="A27" s="376" t="s">
        <v>56</v>
      </c>
      <c r="B27" s="376">
        <v>18419</v>
      </c>
      <c r="C27" s="376">
        <v>20996</v>
      </c>
      <c r="D27" s="376">
        <v>151415</v>
      </c>
      <c r="E27" s="376">
        <v>165151</v>
      </c>
      <c r="F27" s="376">
        <v>164155</v>
      </c>
      <c r="G27" s="376">
        <v>162542</v>
      </c>
      <c r="H27" s="376">
        <v>164433</v>
      </c>
      <c r="I27" s="376">
        <v>141895</v>
      </c>
      <c r="J27" s="376">
        <v>83602</v>
      </c>
      <c r="K27" s="376">
        <v>76609</v>
      </c>
      <c r="L27" s="376">
        <v>971</v>
      </c>
      <c r="M27" s="376">
        <v>2241</v>
      </c>
      <c r="N27" s="376">
        <v>1152429</v>
      </c>
    </row>
    <row r="28" spans="1:14">
      <c r="A28" s="275"/>
      <c r="B28" s="275"/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</row>
    <row r="29" spans="1:14">
      <c r="A29" s="275"/>
      <c r="B29" s="275"/>
      <c r="C29" s="275"/>
      <c r="D29" s="275"/>
      <c r="E29" s="275"/>
      <c r="F29" s="275"/>
      <c r="G29" s="275"/>
      <c r="H29" s="275"/>
      <c r="I29" s="275"/>
      <c r="J29" s="275"/>
      <c r="K29" s="275"/>
      <c r="L29" s="275"/>
      <c r="M29" s="275"/>
      <c r="N29" s="275"/>
    </row>
    <row r="30" spans="1:14">
      <c r="A30" s="275"/>
      <c r="B30" s="275"/>
      <c r="C30" s="275"/>
      <c r="D30" s="275"/>
      <c r="E30" s="275"/>
      <c r="F30" s="275"/>
      <c r="G30" s="275"/>
      <c r="H30" s="275"/>
      <c r="I30" s="275"/>
      <c r="J30" s="275"/>
      <c r="K30" s="275"/>
      <c r="L30" s="275"/>
      <c r="M30" s="275"/>
      <c r="N30" s="275"/>
    </row>
    <row r="31" spans="1:14">
      <c r="A31" s="275"/>
      <c r="B31" s="275"/>
      <c r="C31" s="275"/>
      <c r="D31" s="275"/>
      <c r="E31" s="275"/>
      <c r="F31" s="275"/>
      <c r="G31" s="275"/>
      <c r="H31" s="275"/>
      <c r="I31" s="275"/>
      <c r="J31" s="275"/>
      <c r="K31" s="275"/>
      <c r="L31" s="275"/>
      <c r="M31" s="275"/>
      <c r="N31" s="275"/>
    </row>
    <row r="32" spans="1:14">
      <c r="A32" s="275"/>
      <c r="B32" s="275"/>
      <c r="C32" s="275"/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</row>
    <row r="33" spans="1:14">
      <c r="A33" s="275"/>
      <c r="B33" s="275"/>
      <c r="C33" s="275"/>
      <c r="D33" s="275"/>
      <c r="E33" s="275"/>
      <c r="F33" s="275"/>
      <c r="G33" s="275"/>
      <c r="H33" s="275"/>
      <c r="I33" s="275"/>
      <c r="J33" s="275"/>
      <c r="K33" s="275"/>
      <c r="L33" s="275"/>
      <c r="M33" s="275"/>
      <c r="N33" s="275"/>
    </row>
  </sheetData>
  <mergeCells count="10">
    <mergeCell ref="A3:N3"/>
    <mergeCell ref="A5:A7"/>
    <mergeCell ref="B5:N5"/>
    <mergeCell ref="B6:C6"/>
    <mergeCell ref="D6:E6"/>
    <mergeCell ref="F6:G6"/>
    <mergeCell ref="H6:I6"/>
    <mergeCell ref="J6:K6"/>
    <mergeCell ref="L6:M6"/>
    <mergeCell ref="N6:N7"/>
  </mergeCells>
  <hyperlinks>
    <hyperlink ref="A1" location="turinys!A1" display="Grįžti į turinį"/>
  </hyperlinks>
  <pageMargins left="0.23622047244094491" right="0.23622047244094491" top="0.35433070866141736" bottom="0.35433070866141736" header="0.31496062992125984" footer="0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52"/>
  <sheetViews>
    <sheetView zoomScaleNormal="100" zoomScaleSheetLayoutView="100" workbookViewId="0">
      <selection activeCell="H12" sqref="H12"/>
    </sheetView>
  </sheetViews>
  <sheetFormatPr defaultRowHeight="15"/>
  <cols>
    <col min="1" max="1" width="3.28515625" style="74" customWidth="1"/>
    <col min="2" max="2" width="16.140625" style="74" customWidth="1"/>
    <col min="3" max="3" width="36.28515625" style="74" customWidth="1"/>
    <col min="4" max="4" width="12" style="74" customWidth="1"/>
    <col min="5" max="5" width="13.85546875" style="74" customWidth="1"/>
    <col min="6" max="6" width="11.42578125" style="74" customWidth="1"/>
    <col min="7" max="7" width="10" style="74" hidden="1" customWidth="1"/>
    <col min="8" max="8" width="11.28515625" style="74" customWidth="1"/>
    <col min="9" max="9" width="8.7109375" style="74" customWidth="1"/>
    <col min="10" max="10" width="9.85546875" style="74" customWidth="1"/>
    <col min="11" max="12" width="8.7109375" style="74" customWidth="1"/>
    <col min="13" max="13" width="10.140625" style="74" customWidth="1"/>
    <col min="14" max="14" width="8.7109375" style="74" customWidth="1"/>
    <col min="15" max="15" width="8.42578125" style="74" customWidth="1"/>
    <col min="16" max="16" width="9.85546875" style="74" customWidth="1"/>
    <col min="17" max="17" width="6.7109375" style="74" customWidth="1"/>
    <col min="18" max="21" width="8.7109375" style="74" customWidth="1"/>
    <col min="22" max="257" width="9.140625" style="74"/>
    <col min="258" max="258" width="16.140625" style="74" customWidth="1"/>
    <col min="259" max="259" width="36.28515625" style="74" customWidth="1"/>
    <col min="260" max="260" width="27.7109375" style="74" customWidth="1"/>
    <col min="261" max="261" width="8.7109375" style="74" customWidth="1"/>
    <col min="262" max="262" width="11.42578125" style="74" customWidth="1"/>
    <col min="263" max="263" width="10" style="74" customWidth="1"/>
    <col min="264" max="264" width="11.28515625" style="74" customWidth="1"/>
    <col min="265" max="265" width="8.7109375" style="74" customWidth="1"/>
    <col min="266" max="266" width="9.85546875" style="74" customWidth="1"/>
    <col min="267" max="268" width="8.7109375" style="74" customWidth="1"/>
    <col min="269" max="269" width="10.140625" style="74" customWidth="1"/>
    <col min="270" max="270" width="8.7109375" style="74" customWidth="1"/>
    <col min="271" max="271" width="8.42578125" style="74" customWidth="1"/>
    <col min="272" max="272" width="9.85546875" style="74" customWidth="1"/>
    <col min="273" max="273" width="6.7109375" style="74" customWidth="1"/>
    <col min="274" max="277" width="8.7109375" style="74" customWidth="1"/>
    <col min="278" max="513" width="9.140625" style="74"/>
    <col min="514" max="514" width="16.140625" style="74" customWidth="1"/>
    <col min="515" max="515" width="36.28515625" style="74" customWidth="1"/>
    <col min="516" max="516" width="27.7109375" style="74" customWidth="1"/>
    <col min="517" max="517" width="8.7109375" style="74" customWidth="1"/>
    <col min="518" max="518" width="11.42578125" style="74" customWidth="1"/>
    <col min="519" max="519" width="10" style="74" customWidth="1"/>
    <col min="520" max="520" width="11.28515625" style="74" customWidth="1"/>
    <col min="521" max="521" width="8.7109375" style="74" customWidth="1"/>
    <col min="522" max="522" width="9.85546875" style="74" customWidth="1"/>
    <col min="523" max="524" width="8.7109375" style="74" customWidth="1"/>
    <col min="525" max="525" width="10.140625" style="74" customWidth="1"/>
    <col min="526" max="526" width="8.7109375" style="74" customWidth="1"/>
    <col min="527" max="527" width="8.42578125" style="74" customWidth="1"/>
    <col min="528" max="528" width="9.85546875" style="74" customWidth="1"/>
    <col min="529" max="529" width="6.7109375" style="74" customWidth="1"/>
    <col min="530" max="533" width="8.7109375" style="74" customWidth="1"/>
    <col min="534" max="769" width="9.140625" style="74"/>
    <col min="770" max="770" width="16.140625" style="74" customWidth="1"/>
    <col min="771" max="771" width="36.28515625" style="74" customWidth="1"/>
    <col min="772" max="772" width="27.7109375" style="74" customWidth="1"/>
    <col min="773" max="773" width="8.7109375" style="74" customWidth="1"/>
    <col min="774" max="774" width="11.42578125" style="74" customWidth="1"/>
    <col min="775" max="775" width="10" style="74" customWidth="1"/>
    <col min="776" max="776" width="11.28515625" style="74" customWidth="1"/>
    <col min="777" max="777" width="8.7109375" style="74" customWidth="1"/>
    <col min="778" max="778" width="9.85546875" style="74" customWidth="1"/>
    <col min="779" max="780" width="8.7109375" style="74" customWidth="1"/>
    <col min="781" max="781" width="10.140625" style="74" customWidth="1"/>
    <col min="782" max="782" width="8.7109375" style="74" customWidth="1"/>
    <col min="783" max="783" width="8.42578125" style="74" customWidth="1"/>
    <col min="784" max="784" width="9.85546875" style="74" customWidth="1"/>
    <col min="785" max="785" width="6.7109375" style="74" customWidth="1"/>
    <col min="786" max="789" width="8.7109375" style="74" customWidth="1"/>
    <col min="790" max="1025" width="9.140625" style="74"/>
    <col min="1026" max="1026" width="16.140625" style="74" customWidth="1"/>
    <col min="1027" max="1027" width="36.28515625" style="74" customWidth="1"/>
    <col min="1028" max="1028" width="27.7109375" style="74" customWidth="1"/>
    <col min="1029" max="1029" width="8.7109375" style="74" customWidth="1"/>
    <col min="1030" max="1030" width="11.42578125" style="74" customWidth="1"/>
    <col min="1031" max="1031" width="10" style="74" customWidth="1"/>
    <col min="1032" max="1032" width="11.28515625" style="74" customWidth="1"/>
    <col min="1033" max="1033" width="8.7109375" style="74" customWidth="1"/>
    <col min="1034" max="1034" width="9.85546875" style="74" customWidth="1"/>
    <col min="1035" max="1036" width="8.7109375" style="74" customWidth="1"/>
    <col min="1037" max="1037" width="10.140625" style="74" customWidth="1"/>
    <col min="1038" max="1038" width="8.7109375" style="74" customWidth="1"/>
    <col min="1039" max="1039" width="8.42578125" style="74" customWidth="1"/>
    <col min="1040" max="1040" width="9.85546875" style="74" customWidth="1"/>
    <col min="1041" max="1041" width="6.7109375" style="74" customWidth="1"/>
    <col min="1042" max="1045" width="8.7109375" style="74" customWidth="1"/>
    <col min="1046" max="1281" width="9.140625" style="74"/>
    <col min="1282" max="1282" width="16.140625" style="74" customWidth="1"/>
    <col min="1283" max="1283" width="36.28515625" style="74" customWidth="1"/>
    <col min="1284" max="1284" width="27.7109375" style="74" customWidth="1"/>
    <col min="1285" max="1285" width="8.7109375" style="74" customWidth="1"/>
    <col min="1286" max="1286" width="11.42578125" style="74" customWidth="1"/>
    <col min="1287" max="1287" width="10" style="74" customWidth="1"/>
    <col min="1288" max="1288" width="11.28515625" style="74" customWidth="1"/>
    <col min="1289" max="1289" width="8.7109375" style="74" customWidth="1"/>
    <col min="1290" max="1290" width="9.85546875" style="74" customWidth="1"/>
    <col min="1291" max="1292" width="8.7109375" style="74" customWidth="1"/>
    <col min="1293" max="1293" width="10.140625" style="74" customWidth="1"/>
    <col min="1294" max="1294" width="8.7109375" style="74" customWidth="1"/>
    <col min="1295" max="1295" width="8.42578125" style="74" customWidth="1"/>
    <col min="1296" max="1296" width="9.85546875" style="74" customWidth="1"/>
    <col min="1297" max="1297" width="6.7109375" style="74" customWidth="1"/>
    <col min="1298" max="1301" width="8.7109375" style="74" customWidth="1"/>
    <col min="1302" max="1537" width="9.140625" style="74"/>
    <col min="1538" max="1538" width="16.140625" style="74" customWidth="1"/>
    <col min="1539" max="1539" width="36.28515625" style="74" customWidth="1"/>
    <col min="1540" max="1540" width="27.7109375" style="74" customWidth="1"/>
    <col min="1541" max="1541" width="8.7109375" style="74" customWidth="1"/>
    <col min="1542" max="1542" width="11.42578125" style="74" customWidth="1"/>
    <col min="1543" max="1543" width="10" style="74" customWidth="1"/>
    <col min="1544" max="1544" width="11.28515625" style="74" customWidth="1"/>
    <col min="1545" max="1545" width="8.7109375" style="74" customWidth="1"/>
    <col min="1546" max="1546" width="9.85546875" style="74" customWidth="1"/>
    <col min="1547" max="1548" width="8.7109375" style="74" customWidth="1"/>
    <col min="1549" max="1549" width="10.140625" style="74" customWidth="1"/>
    <col min="1550" max="1550" width="8.7109375" style="74" customWidth="1"/>
    <col min="1551" max="1551" width="8.42578125" style="74" customWidth="1"/>
    <col min="1552" max="1552" width="9.85546875" style="74" customWidth="1"/>
    <col min="1553" max="1553" width="6.7109375" style="74" customWidth="1"/>
    <col min="1554" max="1557" width="8.7109375" style="74" customWidth="1"/>
    <col min="1558" max="1793" width="9.140625" style="74"/>
    <col min="1794" max="1794" width="16.140625" style="74" customWidth="1"/>
    <col min="1795" max="1795" width="36.28515625" style="74" customWidth="1"/>
    <col min="1796" max="1796" width="27.7109375" style="74" customWidth="1"/>
    <col min="1797" max="1797" width="8.7109375" style="74" customWidth="1"/>
    <col min="1798" max="1798" width="11.42578125" style="74" customWidth="1"/>
    <col min="1799" max="1799" width="10" style="74" customWidth="1"/>
    <col min="1800" max="1800" width="11.28515625" style="74" customWidth="1"/>
    <col min="1801" max="1801" width="8.7109375" style="74" customWidth="1"/>
    <col min="1802" max="1802" width="9.85546875" style="74" customWidth="1"/>
    <col min="1803" max="1804" width="8.7109375" style="74" customWidth="1"/>
    <col min="1805" max="1805" width="10.140625" style="74" customWidth="1"/>
    <col min="1806" max="1806" width="8.7109375" style="74" customWidth="1"/>
    <col min="1807" max="1807" width="8.42578125" style="74" customWidth="1"/>
    <col min="1808" max="1808" width="9.85546875" style="74" customWidth="1"/>
    <col min="1809" max="1809" width="6.7109375" style="74" customWidth="1"/>
    <col min="1810" max="1813" width="8.7109375" style="74" customWidth="1"/>
    <col min="1814" max="2049" width="9.140625" style="74"/>
    <col min="2050" max="2050" width="16.140625" style="74" customWidth="1"/>
    <col min="2051" max="2051" width="36.28515625" style="74" customWidth="1"/>
    <col min="2052" max="2052" width="27.7109375" style="74" customWidth="1"/>
    <col min="2053" max="2053" width="8.7109375" style="74" customWidth="1"/>
    <col min="2054" max="2054" width="11.42578125" style="74" customWidth="1"/>
    <col min="2055" max="2055" width="10" style="74" customWidth="1"/>
    <col min="2056" max="2056" width="11.28515625" style="74" customWidth="1"/>
    <col min="2057" max="2057" width="8.7109375" style="74" customWidth="1"/>
    <col min="2058" max="2058" width="9.85546875" style="74" customWidth="1"/>
    <col min="2059" max="2060" width="8.7109375" style="74" customWidth="1"/>
    <col min="2061" max="2061" width="10.140625" style="74" customWidth="1"/>
    <col min="2062" max="2062" width="8.7109375" style="74" customWidth="1"/>
    <col min="2063" max="2063" width="8.42578125" style="74" customWidth="1"/>
    <col min="2064" max="2064" width="9.85546875" style="74" customWidth="1"/>
    <col min="2065" max="2065" width="6.7109375" style="74" customWidth="1"/>
    <col min="2066" max="2069" width="8.7109375" style="74" customWidth="1"/>
    <col min="2070" max="2305" width="9.140625" style="74"/>
    <col min="2306" max="2306" width="16.140625" style="74" customWidth="1"/>
    <col min="2307" max="2307" width="36.28515625" style="74" customWidth="1"/>
    <col min="2308" max="2308" width="27.7109375" style="74" customWidth="1"/>
    <col min="2309" max="2309" width="8.7109375" style="74" customWidth="1"/>
    <col min="2310" max="2310" width="11.42578125" style="74" customWidth="1"/>
    <col min="2311" max="2311" width="10" style="74" customWidth="1"/>
    <col min="2312" max="2312" width="11.28515625" style="74" customWidth="1"/>
    <col min="2313" max="2313" width="8.7109375" style="74" customWidth="1"/>
    <col min="2314" max="2314" width="9.85546875" style="74" customWidth="1"/>
    <col min="2315" max="2316" width="8.7109375" style="74" customWidth="1"/>
    <col min="2317" max="2317" width="10.140625" style="74" customWidth="1"/>
    <col min="2318" max="2318" width="8.7109375" style="74" customWidth="1"/>
    <col min="2319" max="2319" width="8.42578125" style="74" customWidth="1"/>
    <col min="2320" max="2320" width="9.85546875" style="74" customWidth="1"/>
    <col min="2321" max="2321" width="6.7109375" style="74" customWidth="1"/>
    <col min="2322" max="2325" width="8.7109375" style="74" customWidth="1"/>
    <col min="2326" max="2561" width="9.140625" style="74"/>
    <col min="2562" max="2562" width="16.140625" style="74" customWidth="1"/>
    <col min="2563" max="2563" width="36.28515625" style="74" customWidth="1"/>
    <col min="2564" max="2564" width="27.7109375" style="74" customWidth="1"/>
    <col min="2565" max="2565" width="8.7109375" style="74" customWidth="1"/>
    <col min="2566" max="2566" width="11.42578125" style="74" customWidth="1"/>
    <col min="2567" max="2567" width="10" style="74" customWidth="1"/>
    <col min="2568" max="2568" width="11.28515625" style="74" customWidth="1"/>
    <col min="2569" max="2569" width="8.7109375" style="74" customWidth="1"/>
    <col min="2570" max="2570" width="9.85546875" style="74" customWidth="1"/>
    <col min="2571" max="2572" width="8.7109375" style="74" customWidth="1"/>
    <col min="2573" max="2573" width="10.140625" style="74" customWidth="1"/>
    <col min="2574" max="2574" width="8.7109375" style="74" customWidth="1"/>
    <col min="2575" max="2575" width="8.42578125" style="74" customWidth="1"/>
    <col min="2576" max="2576" width="9.85546875" style="74" customWidth="1"/>
    <col min="2577" max="2577" width="6.7109375" style="74" customWidth="1"/>
    <col min="2578" max="2581" width="8.7109375" style="74" customWidth="1"/>
    <col min="2582" max="2817" width="9.140625" style="74"/>
    <col min="2818" max="2818" width="16.140625" style="74" customWidth="1"/>
    <col min="2819" max="2819" width="36.28515625" style="74" customWidth="1"/>
    <col min="2820" max="2820" width="27.7109375" style="74" customWidth="1"/>
    <col min="2821" max="2821" width="8.7109375" style="74" customWidth="1"/>
    <col min="2822" max="2822" width="11.42578125" style="74" customWidth="1"/>
    <col min="2823" max="2823" width="10" style="74" customWidth="1"/>
    <col min="2824" max="2824" width="11.28515625" style="74" customWidth="1"/>
    <col min="2825" max="2825" width="8.7109375" style="74" customWidth="1"/>
    <col min="2826" max="2826" width="9.85546875" style="74" customWidth="1"/>
    <col min="2827" max="2828" width="8.7109375" style="74" customWidth="1"/>
    <col min="2829" max="2829" width="10.140625" style="74" customWidth="1"/>
    <col min="2830" max="2830" width="8.7109375" style="74" customWidth="1"/>
    <col min="2831" max="2831" width="8.42578125" style="74" customWidth="1"/>
    <col min="2832" max="2832" width="9.85546875" style="74" customWidth="1"/>
    <col min="2833" max="2833" width="6.7109375" style="74" customWidth="1"/>
    <col min="2834" max="2837" width="8.7109375" style="74" customWidth="1"/>
    <col min="2838" max="3073" width="9.140625" style="74"/>
    <col min="3074" max="3074" width="16.140625" style="74" customWidth="1"/>
    <col min="3075" max="3075" width="36.28515625" style="74" customWidth="1"/>
    <col min="3076" max="3076" width="27.7109375" style="74" customWidth="1"/>
    <col min="3077" max="3077" width="8.7109375" style="74" customWidth="1"/>
    <col min="3078" max="3078" width="11.42578125" style="74" customWidth="1"/>
    <col min="3079" max="3079" width="10" style="74" customWidth="1"/>
    <col min="3080" max="3080" width="11.28515625" style="74" customWidth="1"/>
    <col min="3081" max="3081" width="8.7109375" style="74" customWidth="1"/>
    <col min="3082" max="3082" width="9.85546875" style="74" customWidth="1"/>
    <col min="3083" max="3084" width="8.7109375" style="74" customWidth="1"/>
    <col min="3085" max="3085" width="10.140625" style="74" customWidth="1"/>
    <col min="3086" max="3086" width="8.7109375" style="74" customWidth="1"/>
    <col min="3087" max="3087" width="8.42578125" style="74" customWidth="1"/>
    <col min="3088" max="3088" width="9.85546875" style="74" customWidth="1"/>
    <col min="3089" max="3089" width="6.7109375" style="74" customWidth="1"/>
    <col min="3090" max="3093" width="8.7109375" style="74" customWidth="1"/>
    <col min="3094" max="3329" width="9.140625" style="74"/>
    <col min="3330" max="3330" width="16.140625" style="74" customWidth="1"/>
    <col min="3331" max="3331" width="36.28515625" style="74" customWidth="1"/>
    <col min="3332" max="3332" width="27.7109375" style="74" customWidth="1"/>
    <col min="3333" max="3333" width="8.7109375" style="74" customWidth="1"/>
    <col min="3334" max="3334" width="11.42578125" style="74" customWidth="1"/>
    <col min="3335" max="3335" width="10" style="74" customWidth="1"/>
    <col min="3336" max="3336" width="11.28515625" style="74" customWidth="1"/>
    <col min="3337" max="3337" width="8.7109375" style="74" customWidth="1"/>
    <col min="3338" max="3338" width="9.85546875" style="74" customWidth="1"/>
    <col min="3339" max="3340" width="8.7109375" style="74" customWidth="1"/>
    <col min="3341" max="3341" width="10.140625" style="74" customWidth="1"/>
    <col min="3342" max="3342" width="8.7109375" style="74" customWidth="1"/>
    <col min="3343" max="3343" width="8.42578125" style="74" customWidth="1"/>
    <col min="3344" max="3344" width="9.85546875" style="74" customWidth="1"/>
    <col min="3345" max="3345" width="6.7109375" style="74" customWidth="1"/>
    <col min="3346" max="3349" width="8.7109375" style="74" customWidth="1"/>
    <col min="3350" max="3585" width="9.140625" style="74"/>
    <col min="3586" max="3586" width="16.140625" style="74" customWidth="1"/>
    <col min="3587" max="3587" width="36.28515625" style="74" customWidth="1"/>
    <col min="3588" max="3588" width="27.7109375" style="74" customWidth="1"/>
    <col min="3589" max="3589" width="8.7109375" style="74" customWidth="1"/>
    <col min="3590" max="3590" width="11.42578125" style="74" customWidth="1"/>
    <col min="3591" max="3591" width="10" style="74" customWidth="1"/>
    <col min="3592" max="3592" width="11.28515625" style="74" customWidth="1"/>
    <col min="3593" max="3593" width="8.7109375" style="74" customWidth="1"/>
    <col min="3594" max="3594" width="9.85546875" style="74" customWidth="1"/>
    <col min="3595" max="3596" width="8.7109375" style="74" customWidth="1"/>
    <col min="3597" max="3597" width="10.140625" style="74" customWidth="1"/>
    <col min="3598" max="3598" width="8.7109375" style="74" customWidth="1"/>
    <col min="3599" max="3599" width="8.42578125" style="74" customWidth="1"/>
    <col min="3600" max="3600" width="9.85546875" style="74" customWidth="1"/>
    <col min="3601" max="3601" width="6.7109375" style="74" customWidth="1"/>
    <col min="3602" max="3605" width="8.7109375" style="74" customWidth="1"/>
    <col min="3606" max="3841" width="9.140625" style="74"/>
    <col min="3842" max="3842" width="16.140625" style="74" customWidth="1"/>
    <col min="3843" max="3843" width="36.28515625" style="74" customWidth="1"/>
    <col min="3844" max="3844" width="27.7109375" style="74" customWidth="1"/>
    <col min="3845" max="3845" width="8.7109375" style="74" customWidth="1"/>
    <col min="3846" max="3846" width="11.42578125" style="74" customWidth="1"/>
    <col min="3847" max="3847" width="10" style="74" customWidth="1"/>
    <col min="3848" max="3848" width="11.28515625" style="74" customWidth="1"/>
    <col min="3849" max="3849" width="8.7109375" style="74" customWidth="1"/>
    <col min="3850" max="3850" width="9.85546875" style="74" customWidth="1"/>
    <col min="3851" max="3852" width="8.7109375" style="74" customWidth="1"/>
    <col min="3853" max="3853" width="10.140625" style="74" customWidth="1"/>
    <col min="3854" max="3854" width="8.7109375" style="74" customWidth="1"/>
    <col min="3855" max="3855" width="8.42578125" style="74" customWidth="1"/>
    <col min="3856" max="3856" width="9.85546875" style="74" customWidth="1"/>
    <col min="3857" max="3857" width="6.7109375" style="74" customWidth="1"/>
    <col min="3858" max="3861" width="8.7109375" style="74" customWidth="1"/>
    <col min="3862" max="4097" width="9.140625" style="74"/>
    <col min="4098" max="4098" width="16.140625" style="74" customWidth="1"/>
    <col min="4099" max="4099" width="36.28515625" style="74" customWidth="1"/>
    <col min="4100" max="4100" width="27.7109375" style="74" customWidth="1"/>
    <col min="4101" max="4101" width="8.7109375" style="74" customWidth="1"/>
    <col min="4102" max="4102" width="11.42578125" style="74" customWidth="1"/>
    <col min="4103" max="4103" width="10" style="74" customWidth="1"/>
    <col min="4104" max="4104" width="11.28515625" style="74" customWidth="1"/>
    <col min="4105" max="4105" width="8.7109375" style="74" customWidth="1"/>
    <col min="4106" max="4106" width="9.85546875" style="74" customWidth="1"/>
    <col min="4107" max="4108" width="8.7109375" style="74" customWidth="1"/>
    <col min="4109" max="4109" width="10.140625" style="74" customWidth="1"/>
    <col min="4110" max="4110" width="8.7109375" style="74" customWidth="1"/>
    <col min="4111" max="4111" width="8.42578125" style="74" customWidth="1"/>
    <col min="4112" max="4112" width="9.85546875" style="74" customWidth="1"/>
    <col min="4113" max="4113" width="6.7109375" style="74" customWidth="1"/>
    <col min="4114" max="4117" width="8.7109375" style="74" customWidth="1"/>
    <col min="4118" max="4353" width="9.140625" style="74"/>
    <col min="4354" max="4354" width="16.140625" style="74" customWidth="1"/>
    <col min="4355" max="4355" width="36.28515625" style="74" customWidth="1"/>
    <col min="4356" max="4356" width="27.7109375" style="74" customWidth="1"/>
    <col min="4357" max="4357" width="8.7109375" style="74" customWidth="1"/>
    <col min="4358" max="4358" width="11.42578125" style="74" customWidth="1"/>
    <col min="4359" max="4359" width="10" style="74" customWidth="1"/>
    <col min="4360" max="4360" width="11.28515625" style="74" customWidth="1"/>
    <col min="4361" max="4361" width="8.7109375" style="74" customWidth="1"/>
    <col min="4362" max="4362" width="9.85546875" style="74" customWidth="1"/>
    <col min="4363" max="4364" width="8.7109375" style="74" customWidth="1"/>
    <col min="4365" max="4365" width="10.140625" style="74" customWidth="1"/>
    <col min="4366" max="4366" width="8.7109375" style="74" customWidth="1"/>
    <col min="4367" max="4367" width="8.42578125" style="74" customWidth="1"/>
    <col min="4368" max="4368" width="9.85546875" style="74" customWidth="1"/>
    <col min="4369" max="4369" width="6.7109375" style="74" customWidth="1"/>
    <col min="4370" max="4373" width="8.7109375" style="74" customWidth="1"/>
    <col min="4374" max="4609" width="9.140625" style="74"/>
    <col min="4610" max="4610" width="16.140625" style="74" customWidth="1"/>
    <col min="4611" max="4611" width="36.28515625" style="74" customWidth="1"/>
    <col min="4612" max="4612" width="27.7109375" style="74" customWidth="1"/>
    <col min="4613" max="4613" width="8.7109375" style="74" customWidth="1"/>
    <col min="4614" max="4614" width="11.42578125" style="74" customWidth="1"/>
    <col min="4615" max="4615" width="10" style="74" customWidth="1"/>
    <col min="4616" max="4616" width="11.28515625" style="74" customWidth="1"/>
    <col min="4617" max="4617" width="8.7109375" style="74" customWidth="1"/>
    <col min="4618" max="4618" width="9.85546875" style="74" customWidth="1"/>
    <col min="4619" max="4620" width="8.7109375" style="74" customWidth="1"/>
    <col min="4621" max="4621" width="10.140625" style="74" customWidth="1"/>
    <col min="4622" max="4622" width="8.7109375" style="74" customWidth="1"/>
    <col min="4623" max="4623" width="8.42578125" style="74" customWidth="1"/>
    <col min="4624" max="4624" width="9.85546875" style="74" customWidth="1"/>
    <col min="4625" max="4625" width="6.7109375" style="74" customWidth="1"/>
    <col min="4626" max="4629" width="8.7109375" style="74" customWidth="1"/>
    <col min="4630" max="4865" width="9.140625" style="74"/>
    <col min="4866" max="4866" width="16.140625" style="74" customWidth="1"/>
    <col min="4867" max="4867" width="36.28515625" style="74" customWidth="1"/>
    <col min="4868" max="4868" width="27.7109375" style="74" customWidth="1"/>
    <col min="4869" max="4869" width="8.7109375" style="74" customWidth="1"/>
    <col min="4870" max="4870" width="11.42578125" style="74" customWidth="1"/>
    <col min="4871" max="4871" width="10" style="74" customWidth="1"/>
    <col min="4872" max="4872" width="11.28515625" style="74" customWidth="1"/>
    <col min="4873" max="4873" width="8.7109375" style="74" customWidth="1"/>
    <col min="4874" max="4874" width="9.85546875" style="74" customWidth="1"/>
    <col min="4875" max="4876" width="8.7109375" style="74" customWidth="1"/>
    <col min="4877" max="4877" width="10.140625" style="74" customWidth="1"/>
    <col min="4878" max="4878" width="8.7109375" style="74" customWidth="1"/>
    <col min="4879" max="4879" width="8.42578125" style="74" customWidth="1"/>
    <col min="4880" max="4880" width="9.85546875" style="74" customWidth="1"/>
    <col min="4881" max="4881" width="6.7109375" style="74" customWidth="1"/>
    <col min="4882" max="4885" width="8.7109375" style="74" customWidth="1"/>
    <col min="4886" max="5121" width="9.140625" style="74"/>
    <col min="5122" max="5122" width="16.140625" style="74" customWidth="1"/>
    <col min="5123" max="5123" width="36.28515625" style="74" customWidth="1"/>
    <col min="5124" max="5124" width="27.7109375" style="74" customWidth="1"/>
    <col min="5125" max="5125" width="8.7109375" style="74" customWidth="1"/>
    <col min="5126" max="5126" width="11.42578125" style="74" customWidth="1"/>
    <col min="5127" max="5127" width="10" style="74" customWidth="1"/>
    <col min="5128" max="5128" width="11.28515625" style="74" customWidth="1"/>
    <col min="5129" max="5129" width="8.7109375" style="74" customWidth="1"/>
    <col min="5130" max="5130" width="9.85546875" style="74" customWidth="1"/>
    <col min="5131" max="5132" width="8.7109375" style="74" customWidth="1"/>
    <col min="5133" max="5133" width="10.140625" style="74" customWidth="1"/>
    <col min="5134" max="5134" width="8.7109375" style="74" customWidth="1"/>
    <col min="5135" max="5135" width="8.42578125" style="74" customWidth="1"/>
    <col min="5136" max="5136" width="9.85546875" style="74" customWidth="1"/>
    <col min="5137" max="5137" width="6.7109375" style="74" customWidth="1"/>
    <col min="5138" max="5141" width="8.7109375" style="74" customWidth="1"/>
    <col min="5142" max="5377" width="9.140625" style="74"/>
    <col min="5378" max="5378" width="16.140625" style="74" customWidth="1"/>
    <col min="5379" max="5379" width="36.28515625" style="74" customWidth="1"/>
    <col min="5380" max="5380" width="27.7109375" style="74" customWidth="1"/>
    <col min="5381" max="5381" width="8.7109375" style="74" customWidth="1"/>
    <col min="5382" max="5382" width="11.42578125" style="74" customWidth="1"/>
    <col min="5383" max="5383" width="10" style="74" customWidth="1"/>
    <col min="5384" max="5384" width="11.28515625" style="74" customWidth="1"/>
    <col min="5385" max="5385" width="8.7109375" style="74" customWidth="1"/>
    <col min="5386" max="5386" width="9.85546875" style="74" customWidth="1"/>
    <col min="5387" max="5388" width="8.7109375" style="74" customWidth="1"/>
    <col min="5389" max="5389" width="10.140625" style="74" customWidth="1"/>
    <col min="5390" max="5390" width="8.7109375" style="74" customWidth="1"/>
    <col min="5391" max="5391" width="8.42578125" style="74" customWidth="1"/>
    <col min="5392" max="5392" width="9.85546875" style="74" customWidth="1"/>
    <col min="5393" max="5393" width="6.7109375" style="74" customWidth="1"/>
    <col min="5394" max="5397" width="8.7109375" style="74" customWidth="1"/>
    <col min="5398" max="5633" width="9.140625" style="74"/>
    <col min="5634" max="5634" width="16.140625" style="74" customWidth="1"/>
    <col min="5635" max="5635" width="36.28515625" style="74" customWidth="1"/>
    <col min="5636" max="5636" width="27.7109375" style="74" customWidth="1"/>
    <col min="5637" max="5637" width="8.7109375" style="74" customWidth="1"/>
    <col min="5638" max="5638" width="11.42578125" style="74" customWidth="1"/>
    <col min="5639" max="5639" width="10" style="74" customWidth="1"/>
    <col min="5640" max="5640" width="11.28515625" style="74" customWidth="1"/>
    <col min="5641" max="5641" width="8.7109375" style="74" customWidth="1"/>
    <col min="5642" max="5642" width="9.85546875" style="74" customWidth="1"/>
    <col min="5643" max="5644" width="8.7109375" style="74" customWidth="1"/>
    <col min="5645" max="5645" width="10.140625" style="74" customWidth="1"/>
    <col min="5646" max="5646" width="8.7109375" style="74" customWidth="1"/>
    <col min="5647" max="5647" width="8.42578125" style="74" customWidth="1"/>
    <col min="5648" max="5648" width="9.85546875" style="74" customWidth="1"/>
    <col min="5649" max="5649" width="6.7109375" style="74" customWidth="1"/>
    <col min="5650" max="5653" width="8.7109375" style="74" customWidth="1"/>
    <col min="5654" max="5889" width="9.140625" style="74"/>
    <col min="5890" max="5890" width="16.140625" style="74" customWidth="1"/>
    <col min="5891" max="5891" width="36.28515625" style="74" customWidth="1"/>
    <col min="5892" max="5892" width="27.7109375" style="74" customWidth="1"/>
    <col min="5893" max="5893" width="8.7109375" style="74" customWidth="1"/>
    <col min="5894" max="5894" width="11.42578125" style="74" customWidth="1"/>
    <col min="5895" max="5895" width="10" style="74" customWidth="1"/>
    <col min="5896" max="5896" width="11.28515625" style="74" customWidth="1"/>
    <col min="5897" max="5897" width="8.7109375" style="74" customWidth="1"/>
    <col min="5898" max="5898" width="9.85546875" style="74" customWidth="1"/>
    <col min="5899" max="5900" width="8.7109375" style="74" customWidth="1"/>
    <col min="5901" max="5901" width="10.140625" style="74" customWidth="1"/>
    <col min="5902" max="5902" width="8.7109375" style="74" customWidth="1"/>
    <col min="5903" max="5903" width="8.42578125" style="74" customWidth="1"/>
    <col min="5904" max="5904" width="9.85546875" style="74" customWidth="1"/>
    <col min="5905" max="5905" width="6.7109375" style="74" customWidth="1"/>
    <col min="5906" max="5909" width="8.7109375" style="74" customWidth="1"/>
    <col min="5910" max="6145" width="9.140625" style="74"/>
    <col min="6146" max="6146" width="16.140625" style="74" customWidth="1"/>
    <col min="6147" max="6147" width="36.28515625" style="74" customWidth="1"/>
    <col min="6148" max="6148" width="27.7109375" style="74" customWidth="1"/>
    <col min="6149" max="6149" width="8.7109375" style="74" customWidth="1"/>
    <col min="6150" max="6150" width="11.42578125" style="74" customWidth="1"/>
    <col min="6151" max="6151" width="10" style="74" customWidth="1"/>
    <col min="6152" max="6152" width="11.28515625" style="74" customWidth="1"/>
    <col min="6153" max="6153" width="8.7109375" style="74" customWidth="1"/>
    <col min="6154" max="6154" width="9.85546875" style="74" customWidth="1"/>
    <col min="6155" max="6156" width="8.7109375" style="74" customWidth="1"/>
    <col min="6157" max="6157" width="10.140625" style="74" customWidth="1"/>
    <col min="6158" max="6158" width="8.7109375" style="74" customWidth="1"/>
    <col min="6159" max="6159" width="8.42578125" style="74" customWidth="1"/>
    <col min="6160" max="6160" width="9.85546875" style="74" customWidth="1"/>
    <col min="6161" max="6161" width="6.7109375" style="74" customWidth="1"/>
    <col min="6162" max="6165" width="8.7109375" style="74" customWidth="1"/>
    <col min="6166" max="6401" width="9.140625" style="74"/>
    <col min="6402" max="6402" width="16.140625" style="74" customWidth="1"/>
    <col min="6403" max="6403" width="36.28515625" style="74" customWidth="1"/>
    <col min="6404" max="6404" width="27.7109375" style="74" customWidth="1"/>
    <col min="6405" max="6405" width="8.7109375" style="74" customWidth="1"/>
    <col min="6406" max="6406" width="11.42578125" style="74" customWidth="1"/>
    <col min="6407" max="6407" width="10" style="74" customWidth="1"/>
    <col min="6408" max="6408" width="11.28515625" style="74" customWidth="1"/>
    <col min="6409" max="6409" width="8.7109375" style="74" customWidth="1"/>
    <col min="6410" max="6410" width="9.85546875" style="74" customWidth="1"/>
    <col min="6411" max="6412" width="8.7109375" style="74" customWidth="1"/>
    <col min="6413" max="6413" width="10.140625" style="74" customWidth="1"/>
    <col min="6414" max="6414" width="8.7109375" style="74" customWidth="1"/>
    <col min="6415" max="6415" width="8.42578125" style="74" customWidth="1"/>
    <col min="6416" max="6416" width="9.85546875" style="74" customWidth="1"/>
    <col min="6417" max="6417" width="6.7109375" style="74" customWidth="1"/>
    <col min="6418" max="6421" width="8.7109375" style="74" customWidth="1"/>
    <col min="6422" max="6657" width="9.140625" style="74"/>
    <col min="6658" max="6658" width="16.140625" style="74" customWidth="1"/>
    <col min="6659" max="6659" width="36.28515625" style="74" customWidth="1"/>
    <col min="6660" max="6660" width="27.7109375" style="74" customWidth="1"/>
    <col min="6661" max="6661" width="8.7109375" style="74" customWidth="1"/>
    <col min="6662" max="6662" width="11.42578125" style="74" customWidth="1"/>
    <col min="6663" max="6663" width="10" style="74" customWidth="1"/>
    <col min="6664" max="6664" width="11.28515625" style="74" customWidth="1"/>
    <col min="6665" max="6665" width="8.7109375" style="74" customWidth="1"/>
    <col min="6666" max="6666" width="9.85546875" style="74" customWidth="1"/>
    <col min="6667" max="6668" width="8.7109375" style="74" customWidth="1"/>
    <col min="6669" max="6669" width="10.140625" style="74" customWidth="1"/>
    <col min="6670" max="6670" width="8.7109375" style="74" customWidth="1"/>
    <col min="6671" max="6671" width="8.42578125" style="74" customWidth="1"/>
    <col min="6672" max="6672" width="9.85546875" style="74" customWidth="1"/>
    <col min="6673" max="6673" width="6.7109375" style="74" customWidth="1"/>
    <col min="6674" max="6677" width="8.7109375" style="74" customWidth="1"/>
    <col min="6678" max="6913" width="9.140625" style="74"/>
    <col min="6914" max="6914" width="16.140625" style="74" customWidth="1"/>
    <col min="6915" max="6915" width="36.28515625" style="74" customWidth="1"/>
    <col min="6916" max="6916" width="27.7109375" style="74" customWidth="1"/>
    <col min="6917" max="6917" width="8.7109375" style="74" customWidth="1"/>
    <col min="6918" max="6918" width="11.42578125" style="74" customWidth="1"/>
    <col min="6919" max="6919" width="10" style="74" customWidth="1"/>
    <col min="6920" max="6920" width="11.28515625" style="74" customWidth="1"/>
    <col min="6921" max="6921" width="8.7109375" style="74" customWidth="1"/>
    <col min="6922" max="6922" width="9.85546875" style="74" customWidth="1"/>
    <col min="6923" max="6924" width="8.7109375" style="74" customWidth="1"/>
    <col min="6925" max="6925" width="10.140625" style="74" customWidth="1"/>
    <col min="6926" max="6926" width="8.7109375" style="74" customWidth="1"/>
    <col min="6927" max="6927" width="8.42578125" style="74" customWidth="1"/>
    <col min="6928" max="6928" width="9.85546875" style="74" customWidth="1"/>
    <col min="6929" max="6929" width="6.7109375" style="74" customWidth="1"/>
    <col min="6930" max="6933" width="8.7109375" style="74" customWidth="1"/>
    <col min="6934" max="7169" width="9.140625" style="74"/>
    <col min="7170" max="7170" width="16.140625" style="74" customWidth="1"/>
    <col min="7171" max="7171" width="36.28515625" style="74" customWidth="1"/>
    <col min="7172" max="7172" width="27.7109375" style="74" customWidth="1"/>
    <col min="7173" max="7173" width="8.7109375" style="74" customWidth="1"/>
    <col min="7174" max="7174" width="11.42578125" style="74" customWidth="1"/>
    <col min="7175" max="7175" width="10" style="74" customWidth="1"/>
    <col min="7176" max="7176" width="11.28515625" style="74" customWidth="1"/>
    <col min="7177" max="7177" width="8.7109375" style="74" customWidth="1"/>
    <col min="7178" max="7178" width="9.85546875" style="74" customWidth="1"/>
    <col min="7179" max="7180" width="8.7109375" style="74" customWidth="1"/>
    <col min="7181" max="7181" width="10.140625" style="74" customWidth="1"/>
    <col min="7182" max="7182" width="8.7109375" style="74" customWidth="1"/>
    <col min="7183" max="7183" width="8.42578125" style="74" customWidth="1"/>
    <col min="7184" max="7184" width="9.85546875" style="74" customWidth="1"/>
    <col min="7185" max="7185" width="6.7109375" style="74" customWidth="1"/>
    <col min="7186" max="7189" width="8.7109375" style="74" customWidth="1"/>
    <col min="7190" max="7425" width="9.140625" style="74"/>
    <col min="7426" max="7426" width="16.140625" style="74" customWidth="1"/>
    <col min="7427" max="7427" width="36.28515625" style="74" customWidth="1"/>
    <col min="7428" max="7428" width="27.7109375" style="74" customWidth="1"/>
    <col min="7429" max="7429" width="8.7109375" style="74" customWidth="1"/>
    <col min="7430" max="7430" width="11.42578125" style="74" customWidth="1"/>
    <col min="7431" max="7431" width="10" style="74" customWidth="1"/>
    <col min="7432" max="7432" width="11.28515625" style="74" customWidth="1"/>
    <col min="7433" max="7433" width="8.7109375" style="74" customWidth="1"/>
    <col min="7434" max="7434" width="9.85546875" style="74" customWidth="1"/>
    <col min="7435" max="7436" width="8.7109375" style="74" customWidth="1"/>
    <col min="7437" max="7437" width="10.140625" style="74" customWidth="1"/>
    <col min="7438" max="7438" width="8.7109375" style="74" customWidth="1"/>
    <col min="7439" max="7439" width="8.42578125" style="74" customWidth="1"/>
    <col min="7440" max="7440" width="9.85546875" style="74" customWidth="1"/>
    <col min="7441" max="7441" width="6.7109375" style="74" customWidth="1"/>
    <col min="7442" max="7445" width="8.7109375" style="74" customWidth="1"/>
    <col min="7446" max="7681" width="9.140625" style="74"/>
    <col min="7682" max="7682" width="16.140625" style="74" customWidth="1"/>
    <col min="7683" max="7683" width="36.28515625" style="74" customWidth="1"/>
    <col min="7684" max="7684" width="27.7109375" style="74" customWidth="1"/>
    <col min="7685" max="7685" width="8.7109375" style="74" customWidth="1"/>
    <col min="7686" max="7686" width="11.42578125" style="74" customWidth="1"/>
    <col min="7687" max="7687" width="10" style="74" customWidth="1"/>
    <col min="7688" max="7688" width="11.28515625" style="74" customWidth="1"/>
    <col min="7689" max="7689" width="8.7109375" style="74" customWidth="1"/>
    <col min="7690" max="7690" width="9.85546875" style="74" customWidth="1"/>
    <col min="7691" max="7692" width="8.7109375" style="74" customWidth="1"/>
    <col min="7693" max="7693" width="10.140625" style="74" customWidth="1"/>
    <col min="7694" max="7694" width="8.7109375" style="74" customWidth="1"/>
    <col min="7695" max="7695" width="8.42578125" style="74" customWidth="1"/>
    <col min="7696" max="7696" width="9.85546875" style="74" customWidth="1"/>
    <col min="7697" max="7697" width="6.7109375" style="74" customWidth="1"/>
    <col min="7698" max="7701" width="8.7109375" style="74" customWidth="1"/>
    <col min="7702" max="7937" width="9.140625" style="74"/>
    <col min="7938" max="7938" width="16.140625" style="74" customWidth="1"/>
    <col min="7939" max="7939" width="36.28515625" style="74" customWidth="1"/>
    <col min="7940" max="7940" width="27.7109375" style="74" customWidth="1"/>
    <col min="7941" max="7941" width="8.7109375" style="74" customWidth="1"/>
    <col min="7942" max="7942" width="11.42578125" style="74" customWidth="1"/>
    <col min="7943" max="7943" width="10" style="74" customWidth="1"/>
    <col min="7944" max="7944" width="11.28515625" style="74" customWidth="1"/>
    <col min="7945" max="7945" width="8.7109375" style="74" customWidth="1"/>
    <col min="7946" max="7946" width="9.85546875" style="74" customWidth="1"/>
    <col min="7947" max="7948" width="8.7109375" style="74" customWidth="1"/>
    <col min="7949" max="7949" width="10.140625" style="74" customWidth="1"/>
    <col min="7950" max="7950" width="8.7109375" style="74" customWidth="1"/>
    <col min="7951" max="7951" width="8.42578125" style="74" customWidth="1"/>
    <col min="7952" max="7952" width="9.85546875" style="74" customWidth="1"/>
    <col min="7953" max="7953" width="6.7109375" style="74" customWidth="1"/>
    <col min="7954" max="7957" width="8.7109375" style="74" customWidth="1"/>
    <col min="7958" max="8193" width="9.140625" style="74"/>
    <col min="8194" max="8194" width="16.140625" style="74" customWidth="1"/>
    <col min="8195" max="8195" width="36.28515625" style="74" customWidth="1"/>
    <col min="8196" max="8196" width="27.7109375" style="74" customWidth="1"/>
    <col min="8197" max="8197" width="8.7109375" style="74" customWidth="1"/>
    <col min="8198" max="8198" width="11.42578125" style="74" customWidth="1"/>
    <col min="8199" max="8199" width="10" style="74" customWidth="1"/>
    <col min="8200" max="8200" width="11.28515625" style="74" customWidth="1"/>
    <col min="8201" max="8201" width="8.7109375" style="74" customWidth="1"/>
    <col min="8202" max="8202" width="9.85546875" style="74" customWidth="1"/>
    <col min="8203" max="8204" width="8.7109375" style="74" customWidth="1"/>
    <col min="8205" max="8205" width="10.140625" style="74" customWidth="1"/>
    <col min="8206" max="8206" width="8.7109375" style="74" customWidth="1"/>
    <col min="8207" max="8207" width="8.42578125" style="74" customWidth="1"/>
    <col min="8208" max="8208" width="9.85546875" style="74" customWidth="1"/>
    <col min="8209" max="8209" width="6.7109375" style="74" customWidth="1"/>
    <col min="8210" max="8213" width="8.7109375" style="74" customWidth="1"/>
    <col min="8214" max="8449" width="9.140625" style="74"/>
    <col min="8450" max="8450" width="16.140625" style="74" customWidth="1"/>
    <col min="8451" max="8451" width="36.28515625" style="74" customWidth="1"/>
    <col min="8452" max="8452" width="27.7109375" style="74" customWidth="1"/>
    <col min="8453" max="8453" width="8.7109375" style="74" customWidth="1"/>
    <col min="8454" max="8454" width="11.42578125" style="74" customWidth="1"/>
    <col min="8455" max="8455" width="10" style="74" customWidth="1"/>
    <col min="8456" max="8456" width="11.28515625" style="74" customWidth="1"/>
    <col min="8457" max="8457" width="8.7109375" style="74" customWidth="1"/>
    <col min="8458" max="8458" width="9.85546875" style="74" customWidth="1"/>
    <col min="8459" max="8460" width="8.7109375" style="74" customWidth="1"/>
    <col min="8461" max="8461" width="10.140625" style="74" customWidth="1"/>
    <col min="8462" max="8462" width="8.7109375" style="74" customWidth="1"/>
    <col min="8463" max="8463" width="8.42578125" style="74" customWidth="1"/>
    <col min="8464" max="8464" width="9.85546875" style="74" customWidth="1"/>
    <col min="8465" max="8465" width="6.7109375" style="74" customWidth="1"/>
    <col min="8466" max="8469" width="8.7109375" style="74" customWidth="1"/>
    <col min="8470" max="8705" width="9.140625" style="74"/>
    <col min="8706" max="8706" width="16.140625" style="74" customWidth="1"/>
    <col min="8707" max="8707" width="36.28515625" style="74" customWidth="1"/>
    <col min="8708" max="8708" width="27.7109375" style="74" customWidth="1"/>
    <col min="8709" max="8709" width="8.7109375" style="74" customWidth="1"/>
    <col min="8710" max="8710" width="11.42578125" style="74" customWidth="1"/>
    <col min="8711" max="8711" width="10" style="74" customWidth="1"/>
    <col min="8712" max="8712" width="11.28515625" style="74" customWidth="1"/>
    <col min="8713" max="8713" width="8.7109375" style="74" customWidth="1"/>
    <col min="8714" max="8714" width="9.85546875" style="74" customWidth="1"/>
    <col min="8715" max="8716" width="8.7109375" style="74" customWidth="1"/>
    <col min="8717" max="8717" width="10.140625" style="74" customWidth="1"/>
    <col min="8718" max="8718" width="8.7109375" style="74" customWidth="1"/>
    <col min="8719" max="8719" width="8.42578125" style="74" customWidth="1"/>
    <col min="8720" max="8720" width="9.85546875" style="74" customWidth="1"/>
    <col min="8721" max="8721" width="6.7109375" style="74" customWidth="1"/>
    <col min="8722" max="8725" width="8.7109375" style="74" customWidth="1"/>
    <col min="8726" max="8961" width="9.140625" style="74"/>
    <col min="8962" max="8962" width="16.140625" style="74" customWidth="1"/>
    <col min="8963" max="8963" width="36.28515625" style="74" customWidth="1"/>
    <col min="8964" max="8964" width="27.7109375" style="74" customWidth="1"/>
    <col min="8965" max="8965" width="8.7109375" style="74" customWidth="1"/>
    <col min="8966" max="8966" width="11.42578125" style="74" customWidth="1"/>
    <col min="8967" max="8967" width="10" style="74" customWidth="1"/>
    <col min="8968" max="8968" width="11.28515625" style="74" customWidth="1"/>
    <col min="8969" max="8969" width="8.7109375" style="74" customWidth="1"/>
    <col min="8970" max="8970" width="9.85546875" style="74" customWidth="1"/>
    <col min="8971" max="8972" width="8.7109375" style="74" customWidth="1"/>
    <col min="8973" max="8973" width="10.140625" style="74" customWidth="1"/>
    <col min="8974" max="8974" width="8.7109375" style="74" customWidth="1"/>
    <col min="8975" max="8975" width="8.42578125" style="74" customWidth="1"/>
    <col min="8976" max="8976" width="9.85546875" style="74" customWidth="1"/>
    <col min="8977" max="8977" width="6.7109375" style="74" customWidth="1"/>
    <col min="8978" max="8981" width="8.7109375" style="74" customWidth="1"/>
    <col min="8982" max="9217" width="9.140625" style="74"/>
    <col min="9218" max="9218" width="16.140625" style="74" customWidth="1"/>
    <col min="9219" max="9219" width="36.28515625" style="74" customWidth="1"/>
    <col min="9220" max="9220" width="27.7109375" style="74" customWidth="1"/>
    <col min="9221" max="9221" width="8.7109375" style="74" customWidth="1"/>
    <col min="9222" max="9222" width="11.42578125" style="74" customWidth="1"/>
    <col min="9223" max="9223" width="10" style="74" customWidth="1"/>
    <col min="9224" max="9224" width="11.28515625" style="74" customWidth="1"/>
    <col min="9225" max="9225" width="8.7109375" style="74" customWidth="1"/>
    <col min="9226" max="9226" width="9.85546875" style="74" customWidth="1"/>
    <col min="9227" max="9228" width="8.7109375" style="74" customWidth="1"/>
    <col min="9229" max="9229" width="10.140625" style="74" customWidth="1"/>
    <col min="9230" max="9230" width="8.7109375" style="74" customWidth="1"/>
    <col min="9231" max="9231" width="8.42578125" style="74" customWidth="1"/>
    <col min="9232" max="9232" width="9.85546875" style="74" customWidth="1"/>
    <col min="9233" max="9233" width="6.7109375" style="74" customWidth="1"/>
    <col min="9234" max="9237" width="8.7109375" style="74" customWidth="1"/>
    <col min="9238" max="9473" width="9.140625" style="74"/>
    <col min="9474" max="9474" width="16.140625" style="74" customWidth="1"/>
    <col min="9475" max="9475" width="36.28515625" style="74" customWidth="1"/>
    <col min="9476" max="9476" width="27.7109375" style="74" customWidth="1"/>
    <col min="9477" max="9477" width="8.7109375" style="74" customWidth="1"/>
    <col min="9478" max="9478" width="11.42578125" style="74" customWidth="1"/>
    <col min="9479" max="9479" width="10" style="74" customWidth="1"/>
    <col min="9480" max="9480" width="11.28515625" style="74" customWidth="1"/>
    <col min="9481" max="9481" width="8.7109375" style="74" customWidth="1"/>
    <col min="9482" max="9482" width="9.85546875" style="74" customWidth="1"/>
    <col min="9483" max="9484" width="8.7109375" style="74" customWidth="1"/>
    <col min="9485" max="9485" width="10.140625" style="74" customWidth="1"/>
    <col min="9486" max="9486" width="8.7109375" style="74" customWidth="1"/>
    <col min="9487" max="9487" width="8.42578125" style="74" customWidth="1"/>
    <col min="9488" max="9488" width="9.85546875" style="74" customWidth="1"/>
    <col min="9489" max="9489" width="6.7109375" style="74" customWidth="1"/>
    <col min="9490" max="9493" width="8.7109375" style="74" customWidth="1"/>
    <col min="9494" max="9729" width="9.140625" style="74"/>
    <col min="9730" max="9730" width="16.140625" style="74" customWidth="1"/>
    <col min="9731" max="9731" width="36.28515625" style="74" customWidth="1"/>
    <col min="9732" max="9732" width="27.7109375" style="74" customWidth="1"/>
    <col min="9733" max="9733" width="8.7109375" style="74" customWidth="1"/>
    <col min="9734" max="9734" width="11.42578125" style="74" customWidth="1"/>
    <col min="9735" max="9735" width="10" style="74" customWidth="1"/>
    <col min="9736" max="9736" width="11.28515625" style="74" customWidth="1"/>
    <col min="9737" max="9737" width="8.7109375" style="74" customWidth="1"/>
    <col min="9738" max="9738" width="9.85546875" style="74" customWidth="1"/>
    <col min="9739" max="9740" width="8.7109375" style="74" customWidth="1"/>
    <col min="9741" max="9741" width="10.140625" style="74" customWidth="1"/>
    <col min="9742" max="9742" width="8.7109375" style="74" customWidth="1"/>
    <col min="9743" max="9743" width="8.42578125" style="74" customWidth="1"/>
    <col min="9744" max="9744" width="9.85546875" style="74" customWidth="1"/>
    <col min="9745" max="9745" width="6.7109375" style="74" customWidth="1"/>
    <col min="9746" max="9749" width="8.7109375" style="74" customWidth="1"/>
    <col min="9750" max="9985" width="9.140625" style="74"/>
    <col min="9986" max="9986" width="16.140625" style="74" customWidth="1"/>
    <col min="9987" max="9987" width="36.28515625" style="74" customWidth="1"/>
    <col min="9988" max="9988" width="27.7109375" style="74" customWidth="1"/>
    <col min="9989" max="9989" width="8.7109375" style="74" customWidth="1"/>
    <col min="9990" max="9990" width="11.42578125" style="74" customWidth="1"/>
    <col min="9991" max="9991" width="10" style="74" customWidth="1"/>
    <col min="9992" max="9992" width="11.28515625" style="74" customWidth="1"/>
    <col min="9993" max="9993" width="8.7109375" style="74" customWidth="1"/>
    <col min="9994" max="9994" width="9.85546875" style="74" customWidth="1"/>
    <col min="9995" max="9996" width="8.7109375" style="74" customWidth="1"/>
    <col min="9997" max="9997" width="10.140625" style="74" customWidth="1"/>
    <col min="9998" max="9998" width="8.7109375" style="74" customWidth="1"/>
    <col min="9999" max="9999" width="8.42578125" style="74" customWidth="1"/>
    <col min="10000" max="10000" width="9.85546875" style="74" customWidth="1"/>
    <col min="10001" max="10001" width="6.7109375" style="74" customWidth="1"/>
    <col min="10002" max="10005" width="8.7109375" style="74" customWidth="1"/>
    <col min="10006" max="10241" width="9.140625" style="74"/>
    <col min="10242" max="10242" width="16.140625" style="74" customWidth="1"/>
    <col min="10243" max="10243" width="36.28515625" style="74" customWidth="1"/>
    <col min="10244" max="10244" width="27.7109375" style="74" customWidth="1"/>
    <col min="10245" max="10245" width="8.7109375" style="74" customWidth="1"/>
    <col min="10246" max="10246" width="11.42578125" style="74" customWidth="1"/>
    <col min="10247" max="10247" width="10" style="74" customWidth="1"/>
    <col min="10248" max="10248" width="11.28515625" style="74" customWidth="1"/>
    <col min="10249" max="10249" width="8.7109375" style="74" customWidth="1"/>
    <col min="10250" max="10250" width="9.85546875" style="74" customWidth="1"/>
    <col min="10251" max="10252" width="8.7109375" style="74" customWidth="1"/>
    <col min="10253" max="10253" width="10.140625" style="74" customWidth="1"/>
    <col min="10254" max="10254" width="8.7109375" style="74" customWidth="1"/>
    <col min="10255" max="10255" width="8.42578125" style="74" customWidth="1"/>
    <col min="10256" max="10256" width="9.85546875" style="74" customWidth="1"/>
    <col min="10257" max="10257" width="6.7109375" style="74" customWidth="1"/>
    <col min="10258" max="10261" width="8.7109375" style="74" customWidth="1"/>
    <col min="10262" max="10497" width="9.140625" style="74"/>
    <col min="10498" max="10498" width="16.140625" style="74" customWidth="1"/>
    <col min="10499" max="10499" width="36.28515625" style="74" customWidth="1"/>
    <col min="10500" max="10500" width="27.7109375" style="74" customWidth="1"/>
    <col min="10501" max="10501" width="8.7109375" style="74" customWidth="1"/>
    <col min="10502" max="10502" width="11.42578125" style="74" customWidth="1"/>
    <col min="10503" max="10503" width="10" style="74" customWidth="1"/>
    <col min="10504" max="10504" width="11.28515625" style="74" customWidth="1"/>
    <col min="10505" max="10505" width="8.7109375" style="74" customWidth="1"/>
    <col min="10506" max="10506" width="9.85546875" style="74" customWidth="1"/>
    <col min="10507" max="10508" width="8.7109375" style="74" customWidth="1"/>
    <col min="10509" max="10509" width="10.140625" style="74" customWidth="1"/>
    <col min="10510" max="10510" width="8.7109375" style="74" customWidth="1"/>
    <col min="10511" max="10511" width="8.42578125" style="74" customWidth="1"/>
    <col min="10512" max="10512" width="9.85546875" style="74" customWidth="1"/>
    <col min="10513" max="10513" width="6.7109375" style="74" customWidth="1"/>
    <col min="10514" max="10517" width="8.7109375" style="74" customWidth="1"/>
    <col min="10518" max="10753" width="9.140625" style="74"/>
    <col min="10754" max="10754" width="16.140625" style="74" customWidth="1"/>
    <col min="10755" max="10755" width="36.28515625" style="74" customWidth="1"/>
    <col min="10756" max="10756" width="27.7109375" style="74" customWidth="1"/>
    <col min="10757" max="10757" width="8.7109375" style="74" customWidth="1"/>
    <col min="10758" max="10758" width="11.42578125" style="74" customWidth="1"/>
    <col min="10759" max="10759" width="10" style="74" customWidth="1"/>
    <col min="10760" max="10760" width="11.28515625" style="74" customWidth="1"/>
    <col min="10761" max="10761" width="8.7109375" style="74" customWidth="1"/>
    <col min="10762" max="10762" width="9.85546875" style="74" customWidth="1"/>
    <col min="10763" max="10764" width="8.7109375" style="74" customWidth="1"/>
    <col min="10765" max="10765" width="10.140625" style="74" customWidth="1"/>
    <col min="10766" max="10766" width="8.7109375" style="74" customWidth="1"/>
    <col min="10767" max="10767" width="8.42578125" style="74" customWidth="1"/>
    <col min="10768" max="10768" width="9.85546875" style="74" customWidth="1"/>
    <col min="10769" max="10769" width="6.7109375" style="74" customWidth="1"/>
    <col min="10770" max="10773" width="8.7109375" style="74" customWidth="1"/>
    <col min="10774" max="11009" width="9.140625" style="74"/>
    <col min="11010" max="11010" width="16.140625" style="74" customWidth="1"/>
    <col min="11011" max="11011" width="36.28515625" style="74" customWidth="1"/>
    <col min="11012" max="11012" width="27.7109375" style="74" customWidth="1"/>
    <col min="11013" max="11013" width="8.7109375" style="74" customWidth="1"/>
    <col min="11014" max="11014" width="11.42578125" style="74" customWidth="1"/>
    <col min="11015" max="11015" width="10" style="74" customWidth="1"/>
    <col min="11016" max="11016" width="11.28515625" style="74" customWidth="1"/>
    <col min="11017" max="11017" width="8.7109375" style="74" customWidth="1"/>
    <col min="11018" max="11018" width="9.85546875" style="74" customWidth="1"/>
    <col min="11019" max="11020" width="8.7109375" style="74" customWidth="1"/>
    <col min="11021" max="11021" width="10.140625" style="74" customWidth="1"/>
    <col min="11022" max="11022" width="8.7109375" style="74" customWidth="1"/>
    <col min="11023" max="11023" width="8.42578125" style="74" customWidth="1"/>
    <col min="11024" max="11024" width="9.85546875" style="74" customWidth="1"/>
    <col min="11025" max="11025" width="6.7109375" style="74" customWidth="1"/>
    <col min="11026" max="11029" width="8.7109375" style="74" customWidth="1"/>
    <col min="11030" max="11265" width="9.140625" style="74"/>
    <col min="11266" max="11266" width="16.140625" style="74" customWidth="1"/>
    <col min="11267" max="11267" width="36.28515625" style="74" customWidth="1"/>
    <col min="11268" max="11268" width="27.7109375" style="74" customWidth="1"/>
    <col min="11269" max="11269" width="8.7109375" style="74" customWidth="1"/>
    <col min="11270" max="11270" width="11.42578125" style="74" customWidth="1"/>
    <col min="11271" max="11271" width="10" style="74" customWidth="1"/>
    <col min="11272" max="11272" width="11.28515625" style="74" customWidth="1"/>
    <col min="11273" max="11273" width="8.7109375" style="74" customWidth="1"/>
    <col min="11274" max="11274" width="9.85546875" style="74" customWidth="1"/>
    <col min="11275" max="11276" width="8.7109375" style="74" customWidth="1"/>
    <col min="11277" max="11277" width="10.140625" style="74" customWidth="1"/>
    <col min="11278" max="11278" width="8.7109375" style="74" customWidth="1"/>
    <col min="11279" max="11279" width="8.42578125" style="74" customWidth="1"/>
    <col min="11280" max="11280" width="9.85546875" style="74" customWidth="1"/>
    <col min="11281" max="11281" width="6.7109375" style="74" customWidth="1"/>
    <col min="11282" max="11285" width="8.7109375" style="74" customWidth="1"/>
    <col min="11286" max="11521" width="9.140625" style="74"/>
    <col min="11522" max="11522" width="16.140625" style="74" customWidth="1"/>
    <col min="11523" max="11523" width="36.28515625" style="74" customWidth="1"/>
    <col min="11524" max="11524" width="27.7109375" style="74" customWidth="1"/>
    <col min="11525" max="11525" width="8.7109375" style="74" customWidth="1"/>
    <col min="11526" max="11526" width="11.42578125" style="74" customWidth="1"/>
    <col min="11527" max="11527" width="10" style="74" customWidth="1"/>
    <col min="11528" max="11528" width="11.28515625" style="74" customWidth="1"/>
    <col min="11529" max="11529" width="8.7109375" style="74" customWidth="1"/>
    <col min="11530" max="11530" width="9.85546875" style="74" customWidth="1"/>
    <col min="11531" max="11532" width="8.7109375" style="74" customWidth="1"/>
    <col min="11533" max="11533" width="10.140625" style="74" customWidth="1"/>
    <col min="11534" max="11534" width="8.7109375" style="74" customWidth="1"/>
    <col min="11535" max="11535" width="8.42578125" style="74" customWidth="1"/>
    <col min="11536" max="11536" width="9.85546875" style="74" customWidth="1"/>
    <col min="11537" max="11537" width="6.7109375" style="74" customWidth="1"/>
    <col min="11538" max="11541" width="8.7109375" style="74" customWidth="1"/>
    <col min="11542" max="11777" width="9.140625" style="74"/>
    <col min="11778" max="11778" width="16.140625" style="74" customWidth="1"/>
    <col min="11779" max="11779" width="36.28515625" style="74" customWidth="1"/>
    <col min="11780" max="11780" width="27.7109375" style="74" customWidth="1"/>
    <col min="11781" max="11781" width="8.7109375" style="74" customWidth="1"/>
    <col min="11782" max="11782" width="11.42578125" style="74" customWidth="1"/>
    <col min="11783" max="11783" width="10" style="74" customWidth="1"/>
    <col min="11784" max="11784" width="11.28515625" style="74" customWidth="1"/>
    <col min="11785" max="11785" width="8.7109375" style="74" customWidth="1"/>
    <col min="11786" max="11786" width="9.85546875" style="74" customWidth="1"/>
    <col min="11787" max="11788" width="8.7109375" style="74" customWidth="1"/>
    <col min="11789" max="11789" width="10.140625" style="74" customWidth="1"/>
    <col min="11790" max="11790" width="8.7109375" style="74" customWidth="1"/>
    <col min="11791" max="11791" width="8.42578125" style="74" customWidth="1"/>
    <col min="11792" max="11792" width="9.85546875" style="74" customWidth="1"/>
    <col min="11793" max="11793" width="6.7109375" style="74" customWidth="1"/>
    <col min="11794" max="11797" width="8.7109375" style="74" customWidth="1"/>
    <col min="11798" max="12033" width="9.140625" style="74"/>
    <col min="12034" max="12034" width="16.140625" style="74" customWidth="1"/>
    <col min="12035" max="12035" width="36.28515625" style="74" customWidth="1"/>
    <col min="12036" max="12036" width="27.7109375" style="74" customWidth="1"/>
    <col min="12037" max="12037" width="8.7109375" style="74" customWidth="1"/>
    <col min="12038" max="12038" width="11.42578125" style="74" customWidth="1"/>
    <col min="12039" max="12039" width="10" style="74" customWidth="1"/>
    <col min="12040" max="12040" width="11.28515625" style="74" customWidth="1"/>
    <col min="12041" max="12041" width="8.7109375" style="74" customWidth="1"/>
    <col min="12042" max="12042" width="9.85546875" style="74" customWidth="1"/>
    <col min="12043" max="12044" width="8.7109375" style="74" customWidth="1"/>
    <col min="12045" max="12045" width="10.140625" style="74" customWidth="1"/>
    <col min="12046" max="12046" width="8.7109375" style="74" customWidth="1"/>
    <col min="12047" max="12047" width="8.42578125" style="74" customWidth="1"/>
    <col min="12048" max="12048" width="9.85546875" style="74" customWidth="1"/>
    <col min="12049" max="12049" width="6.7109375" style="74" customWidth="1"/>
    <col min="12050" max="12053" width="8.7109375" style="74" customWidth="1"/>
    <col min="12054" max="12289" width="9.140625" style="74"/>
    <col min="12290" max="12290" width="16.140625" style="74" customWidth="1"/>
    <col min="12291" max="12291" width="36.28515625" style="74" customWidth="1"/>
    <col min="12292" max="12292" width="27.7109375" style="74" customWidth="1"/>
    <col min="12293" max="12293" width="8.7109375" style="74" customWidth="1"/>
    <col min="12294" max="12294" width="11.42578125" style="74" customWidth="1"/>
    <col min="12295" max="12295" width="10" style="74" customWidth="1"/>
    <col min="12296" max="12296" width="11.28515625" style="74" customWidth="1"/>
    <col min="12297" max="12297" width="8.7109375" style="74" customWidth="1"/>
    <col min="12298" max="12298" width="9.85546875" style="74" customWidth="1"/>
    <col min="12299" max="12300" width="8.7109375" style="74" customWidth="1"/>
    <col min="12301" max="12301" width="10.140625" style="74" customWidth="1"/>
    <col min="12302" max="12302" width="8.7109375" style="74" customWidth="1"/>
    <col min="12303" max="12303" width="8.42578125" style="74" customWidth="1"/>
    <col min="12304" max="12304" width="9.85546875" style="74" customWidth="1"/>
    <col min="12305" max="12305" width="6.7109375" style="74" customWidth="1"/>
    <col min="12306" max="12309" width="8.7109375" style="74" customWidth="1"/>
    <col min="12310" max="12545" width="9.140625" style="74"/>
    <col min="12546" max="12546" width="16.140625" style="74" customWidth="1"/>
    <col min="12547" max="12547" width="36.28515625" style="74" customWidth="1"/>
    <col min="12548" max="12548" width="27.7109375" style="74" customWidth="1"/>
    <col min="12549" max="12549" width="8.7109375" style="74" customWidth="1"/>
    <col min="12550" max="12550" width="11.42578125" style="74" customWidth="1"/>
    <col min="12551" max="12551" width="10" style="74" customWidth="1"/>
    <col min="12552" max="12552" width="11.28515625" style="74" customWidth="1"/>
    <col min="12553" max="12553" width="8.7109375" style="74" customWidth="1"/>
    <col min="12554" max="12554" width="9.85546875" style="74" customWidth="1"/>
    <col min="12555" max="12556" width="8.7109375" style="74" customWidth="1"/>
    <col min="12557" max="12557" width="10.140625" style="74" customWidth="1"/>
    <col min="12558" max="12558" width="8.7109375" style="74" customWidth="1"/>
    <col min="12559" max="12559" width="8.42578125" style="74" customWidth="1"/>
    <col min="12560" max="12560" width="9.85546875" style="74" customWidth="1"/>
    <col min="12561" max="12561" width="6.7109375" style="74" customWidth="1"/>
    <col min="12562" max="12565" width="8.7109375" style="74" customWidth="1"/>
    <col min="12566" max="12801" width="9.140625" style="74"/>
    <col min="12802" max="12802" width="16.140625" style="74" customWidth="1"/>
    <col min="12803" max="12803" width="36.28515625" style="74" customWidth="1"/>
    <col min="12804" max="12804" width="27.7109375" style="74" customWidth="1"/>
    <col min="12805" max="12805" width="8.7109375" style="74" customWidth="1"/>
    <col min="12806" max="12806" width="11.42578125" style="74" customWidth="1"/>
    <col min="12807" max="12807" width="10" style="74" customWidth="1"/>
    <col min="12808" max="12808" width="11.28515625" style="74" customWidth="1"/>
    <col min="12809" max="12809" width="8.7109375" style="74" customWidth="1"/>
    <col min="12810" max="12810" width="9.85546875" style="74" customWidth="1"/>
    <col min="12811" max="12812" width="8.7109375" style="74" customWidth="1"/>
    <col min="12813" max="12813" width="10.140625" style="74" customWidth="1"/>
    <col min="12814" max="12814" width="8.7109375" style="74" customWidth="1"/>
    <col min="12815" max="12815" width="8.42578125" style="74" customWidth="1"/>
    <col min="12816" max="12816" width="9.85546875" style="74" customWidth="1"/>
    <col min="12817" max="12817" width="6.7109375" style="74" customWidth="1"/>
    <col min="12818" max="12821" width="8.7109375" style="74" customWidth="1"/>
    <col min="12822" max="13057" width="9.140625" style="74"/>
    <col min="13058" max="13058" width="16.140625" style="74" customWidth="1"/>
    <col min="13059" max="13059" width="36.28515625" style="74" customWidth="1"/>
    <col min="13060" max="13060" width="27.7109375" style="74" customWidth="1"/>
    <col min="13061" max="13061" width="8.7109375" style="74" customWidth="1"/>
    <col min="13062" max="13062" width="11.42578125" style="74" customWidth="1"/>
    <col min="13063" max="13063" width="10" style="74" customWidth="1"/>
    <col min="13064" max="13064" width="11.28515625" style="74" customWidth="1"/>
    <col min="13065" max="13065" width="8.7109375" style="74" customWidth="1"/>
    <col min="13066" max="13066" width="9.85546875" style="74" customWidth="1"/>
    <col min="13067" max="13068" width="8.7109375" style="74" customWidth="1"/>
    <col min="13069" max="13069" width="10.140625" style="74" customWidth="1"/>
    <col min="13070" max="13070" width="8.7109375" style="74" customWidth="1"/>
    <col min="13071" max="13071" width="8.42578125" style="74" customWidth="1"/>
    <col min="13072" max="13072" width="9.85546875" style="74" customWidth="1"/>
    <col min="13073" max="13073" width="6.7109375" style="74" customWidth="1"/>
    <col min="13074" max="13077" width="8.7109375" style="74" customWidth="1"/>
    <col min="13078" max="13313" width="9.140625" style="74"/>
    <col min="13314" max="13314" width="16.140625" style="74" customWidth="1"/>
    <col min="13315" max="13315" width="36.28515625" style="74" customWidth="1"/>
    <col min="13316" max="13316" width="27.7109375" style="74" customWidth="1"/>
    <col min="13317" max="13317" width="8.7109375" style="74" customWidth="1"/>
    <col min="13318" max="13318" width="11.42578125" style="74" customWidth="1"/>
    <col min="13319" max="13319" width="10" style="74" customWidth="1"/>
    <col min="13320" max="13320" width="11.28515625" style="74" customWidth="1"/>
    <col min="13321" max="13321" width="8.7109375" style="74" customWidth="1"/>
    <col min="13322" max="13322" width="9.85546875" style="74" customWidth="1"/>
    <col min="13323" max="13324" width="8.7109375" style="74" customWidth="1"/>
    <col min="13325" max="13325" width="10.140625" style="74" customWidth="1"/>
    <col min="13326" max="13326" width="8.7109375" style="74" customWidth="1"/>
    <col min="13327" max="13327" width="8.42578125" style="74" customWidth="1"/>
    <col min="13328" max="13328" width="9.85546875" style="74" customWidth="1"/>
    <col min="13329" max="13329" width="6.7109375" style="74" customWidth="1"/>
    <col min="13330" max="13333" width="8.7109375" style="74" customWidth="1"/>
    <col min="13334" max="13569" width="9.140625" style="74"/>
    <col min="13570" max="13570" width="16.140625" style="74" customWidth="1"/>
    <col min="13571" max="13571" width="36.28515625" style="74" customWidth="1"/>
    <col min="13572" max="13572" width="27.7109375" style="74" customWidth="1"/>
    <col min="13573" max="13573" width="8.7109375" style="74" customWidth="1"/>
    <col min="13574" max="13574" width="11.42578125" style="74" customWidth="1"/>
    <col min="13575" max="13575" width="10" style="74" customWidth="1"/>
    <col min="13576" max="13576" width="11.28515625" style="74" customWidth="1"/>
    <col min="13577" max="13577" width="8.7109375" style="74" customWidth="1"/>
    <col min="13578" max="13578" width="9.85546875" style="74" customWidth="1"/>
    <col min="13579" max="13580" width="8.7109375" style="74" customWidth="1"/>
    <col min="13581" max="13581" width="10.140625" style="74" customWidth="1"/>
    <col min="13582" max="13582" width="8.7109375" style="74" customWidth="1"/>
    <col min="13583" max="13583" width="8.42578125" style="74" customWidth="1"/>
    <col min="13584" max="13584" width="9.85546875" style="74" customWidth="1"/>
    <col min="13585" max="13585" width="6.7109375" style="74" customWidth="1"/>
    <col min="13586" max="13589" width="8.7109375" style="74" customWidth="1"/>
    <col min="13590" max="13825" width="9.140625" style="74"/>
    <col min="13826" max="13826" width="16.140625" style="74" customWidth="1"/>
    <col min="13827" max="13827" width="36.28515625" style="74" customWidth="1"/>
    <col min="13828" max="13828" width="27.7109375" style="74" customWidth="1"/>
    <col min="13829" max="13829" width="8.7109375" style="74" customWidth="1"/>
    <col min="13830" max="13830" width="11.42578125" style="74" customWidth="1"/>
    <col min="13831" max="13831" width="10" style="74" customWidth="1"/>
    <col min="13832" max="13832" width="11.28515625" style="74" customWidth="1"/>
    <col min="13833" max="13833" width="8.7109375" style="74" customWidth="1"/>
    <col min="13834" max="13834" width="9.85546875" style="74" customWidth="1"/>
    <col min="13835" max="13836" width="8.7109375" style="74" customWidth="1"/>
    <col min="13837" max="13837" width="10.140625" style="74" customWidth="1"/>
    <col min="13838" max="13838" width="8.7109375" style="74" customWidth="1"/>
    <col min="13839" max="13839" width="8.42578125" style="74" customWidth="1"/>
    <col min="13840" max="13840" width="9.85546875" style="74" customWidth="1"/>
    <col min="13841" max="13841" width="6.7109375" style="74" customWidth="1"/>
    <col min="13842" max="13845" width="8.7109375" style="74" customWidth="1"/>
    <col min="13846" max="14081" width="9.140625" style="74"/>
    <col min="14082" max="14082" width="16.140625" style="74" customWidth="1"/>
    <col min="14083" max="14083" width="36.28515625" style="74" customWidth="1"/>
    <col min="14084" max="14084" width="27.7109375" style="74" customWidth="1"/>
    <col min="14085" max="14085" width="8.7109375" style="74" customWidth="1"/>
    <col min="14086" max="14086" width="11.42578125" style="74" customWidth="1"/>
    <col min="14087" max="14087" width="10" style="74" customWidth="1"/>
    <col min="14088" max="14088" width="11.28515625" style="74" customWidth="1"/>
    <col min="14089" max="14089" width="8.7109375" style="74" customWidth="1"/>
    <col min="14090" max="14090" width="9.85546875" style="74" customWidth="1"/>
    <col min="14091" max="14092" width="8.7109375" style="74" customWidth="1"/>
    <col min="14093" max="14093" width="10.140625" style="74" customWidth="1"/>
    <col min="14094" max="14094" width="8.7109375" style="74" customWidth="1"/>
    <col min="14095" max="14095" width="8.42578125" style="74" customWidth="1"/>
    <col min="14096" max="14096" width="9.85546875" style="74" customWidth="1"/>
    <col min="14097" max="14097" width="6.7109375" style="74" customWidth="1"/>
    <col min="14098" max="14101" width="8.7109375" style="74" customWidth="1"/>
    <col min="14102" max="14337" width="9.140625" style="74"/>
    <col min="14338" max="14338" width="16.140625" style="74" customWidth="1"/>
    <col min="14339" max="14339" width="36.28515625" style="74" customWidth="1"/>
    <col min="14340" max="14340" width="27.7109375" style="74" customWidth="1"/>
    <col min="14341" max="14341" width="8.7109375" style="74" customWidth="1"/>
    <col min="14342" max="14342" width="11.42578125" style="74" customWidth="1"/>
    <col min="14343" max="14343" width="10" style="74" customWidth="1"/>
    <col min="14344" max="14344" width="11.28515625" style="74" customWidth="1"/>
    <col min="14345" max="14345" width="8.7109375" style="74" customWidth="1"/>
    <col min="14346" max="14346" width="9.85546875" style="74" customWidth="1"/>
    <col min="14347" max="14348" width="8.7109375" style="74" customWidth="1"/>
    <col min="14349" max="14349" width="10.140625" style="74" customWidth="1"/>
    <col min="14350" max="14350" width="8.7109375" style="74" customWidth="1"/>
    <col min="14351" max="14351" width="8.42578125" style="74" customWidth="1"/>
    <col min="14352" max="14352" width="9.85546875" style="74" customWidth="1"/>
    <col min="14353" max="14353" width="6.7109375" style="74" customWidth="1"/>
    <col min="14354" max="14357" width="8.7109375" style="74" customWidth="1"/>
    <col min="14358" max="14593" width="9.140625" style="74"/>
    <col min="14594" max="14594" width="16.140625" style="74" customWidth="1"/>
    <col min="14595" max="14595" width="36.28515625" style="74" customWidth="1"/>
    <col min="14596" max="14596" width="27.7109375" style="74" customWidth="1"/>
    <col min="14597" max="14597" width="8.7109375" style="74" customWidth="1"/>
    <col min="14598" max="14598" width="11.42578125" style="74" customWidth="1"/>
    <col min="14599" max="14599" width="10" style="74" customWidth="1"/>
    <col min="14600" max="14600" width="11.28515625" style="74" customWidth="1"/>
    <col min="14601" max="14601" width="8.7109375" style="74" customWidth="1"/>
    <col min="14602" max="14602" width="9.85546875" style="74" customWidth="1"/>
    <col min="14603" max="14604" width="8.7109375" style="74" customWidth="1"/>
    <col min="14605" max="14605" width="10.140625" style="74" customWidth="1"/>
    <col min="14606" max="14606" width="8.7109375" style="74" customWidth="1"/>
    <col min="14607" max="14607" width="8.42578125" style="74" customWidth="1"/>
    <col min="14608" max="14608" width="9.85546875" style="74" customWidth="1"/>
    <col min="14609" max="14609" width="6.7109375" style="74" customWidth="1"/>
    <col min="14610" max="14613" width="8.7109375" style="74" customWidth="1"/>
    <col min="14614" max="14849" width="9.140625" style="74"/>
    <col min="14850" max="14850" width="16.140625" style="74" customWidth="1"/>
    <col min="14851" max="14851" width="36.28515625" style="74" customWidth="1"/>
    <col min="14852" max="14852" width="27.7109375" style="74" customWidth="1"/>
    <col min="14853" max="14853" width="8.7109375" style="74" customWidth="1"/>
    <col min="14854" max="14854" width="11.42578125" style="74" customWidth="1"/>
    <col min="14855" max="14855" width="10" style="74" customWidth="1"/>
    <col min="14856" max="14856" width="11.28515625" style="74" customWidth="1"/>
    <col min="14857" max="14857" width="8.7109375" style="74" customWidth="1"/>
    <col min="14858" max="14858" width="9.85546875" style="74" customWidth="1"/>
    <col min="14859" max="14860" width="8.7109375" style="74" customWidth="1"/>
    <col min="14861" max="14861" width="10.140625" style="74" customWidth="1"/>
    <col min="14862" max="14862" width="8.7109375" style="74" customWidth="1"/>
    <col min="14863" max="14863" width="8.42578125" style="74" customWidth="1"/>
    <col min="14864" max="14864" width="9.85546875" style="74" customWidth="1"/>
    <col min="14865" max="14865" width="6.7109375" style="74" customWidth="1"/>
    <col min="14866" max="14869" width="8.7109375" style="74" customWidth="1"/>
    <col min="14870" max="15105" width="9.140625" style="74"/>
    <col min="15106" max="15106" width="16.140625" style="74" customWidth="1"/>
    <col min="15107" max="15107" width="36.28515625" style="74" customWidth="1"/>
    <col min="15108" max="15108" width="27.7109375" style="74" customWidth="1"/>
    <col min="15109" max="15109" width="8.7109375" style="74" customWidth="1"/>
    <col min="15110" max="15110" width="11.42578125" style="74" customWidth="1"/>
    <col min="15111" max="15111" width="10" style="74" customWidth="1"/>
    <col min="15112" max="15112" width="11.28515625" style="74" customWidth="1"/>
    <col min="15113" max="15113" width="8.7109375" style="74" customWidth="1"/>
    <col min="15114" max="15114" width="9.85546875" style="74" customWidth="1"/>
    <col min="15115" max="15116" width="8.7109375" style="74" customWidth="1"/>
    <col min="15117" max="15117" width="10.140625" style="74" customWidth="1"/>
    <col min="15118" max="15118" width="8.7109375" style="74" customWidth="1"/>
    <col min="15119" max="15119" width="8.42578125" style="74" customWidth="1"/>
    <col min="15120" max="15120" width="9.85546875" style="74" customWidth="1"/>
    <col min="15121" max="15121" width="6.7109375" style="74" customWidth="1"/>
    <col min="15122" max="15125" width="8.7109375" style="74" customWidth="1"/>
    <col min="15126" max="15361" width="9.140625" style="74"/>
    <col min="15362" max="15362" width="16.140625" style="74" customWidth="1"/>
    <col min="15363" max="15363" width="36.28515625" style="74" customWidth="1"/>
    <col min="15364" max="15364" width="27.7109375" style="74" customWidth="1"/>
    <col min="15365" max="15365" width="8.7109375" style="74" customWidth="1"/>
    <col min="15366" max="15366" width="11.42578125" style="74" customWidth="1"/>
    <col min="15367" max="15367" width="10" style="74" customWidth="1"/>
    <col min="15368" max="15368" width="11.28515625" style="74" customWidth="1"/>
    <col min="15369" max="15369" width="8.7109375" style="74" customWidth="1"/>
    <col min="15370" max="15370" width="9.85546875" style="74" customWidth="1"/>
    <col min="15371" max="15372" width="8.7109375" style="74" customWidth="1"/>
    <col min="15373" max="15373" width="10.140625" style="74" customWidth="1"/>
    <col min="15374" max="15374" width="8.7109375" style="74" customWidth="1"/>
    <col min="15375" max="15375" width="8.42578125" style="74" customWidth="1"/>
    <col min="15376" max="15376" width="9.85546875" style="74" customWidth="1"/>
    <col min="15377" max="15377" width="6.7109375" style="74" customWidth="1"/>
    <col min="15378" max="15381" width="8.7109375" style="74" customWidth="1"/>
    <col min="15382" max="15617" width="9.140625" style="74"/>
    <col min="15618" max="15618" width="16.140625" style="74" customWidth="1"/>
    <col min="15619" max="15619" width="36.28515625" style="74" customWidth="1"/>
    <col min="15620" max="15620" width="27.7109375" style="74" customWidth="1"/>
    <col min="15621" max="15621" width="8.7109375" style="74" customWidth="1"/>
    <col min="15622" max="15622" width="11.42578125" style="74" customWidth="1"/>
    <col min="15623" max="15623" width="10" style="74" customWidth="1"/>
    <col min="15624" max="15624" width="11.28515625" style="74" customWidth="1"/>
    <col min="15625" max="15625" width="8.7109375" style="74" customWidth="1"/>
    <col min="15626" max="15626" width="9.85546875" style="74" customWidth="1"/>
    <col min="15627" max="15628" width="8.7109375" style="74" customWidth="1"/>
    <col min="15629" max="15629" width="10.140625" style="74" customWidth="1"/>
    <col min="15630" max="15630" width="8.7109375" style="74" customWidth="1"/>
    <col min="15631" max="15631" width="8.42578125" style="74" customWidth="1"/>
    <col min="15632" max="15632" width="9.85546875" style="74" customWidth="1"/>
    <col min="15633" max="15633" width="6.7109375" style="74" customWidth="1"/>
    <col min="15634" max="15637" width="8.7109375" style="74" customWidth="1"/>
    <col min="15638" max="15873" width="9.140625" style="74"/>
    <col min="15874" max="15874" width="16.140625" style="74" customWidth="1"/>
    <col min="15875" max="15875" width="36.28515625" style="74" customWidth="1"/>
    <col min="15876" max="15876" width="27.7109375" style="74" customWidth="1"/>
    <col min="15877" max="15877" width="8.7109375" style="74" customWidth="1"/>
    <col min="15878" max="15878" width="11.42578125" style="74" customWidth="1"/>
    <col min="15879" max="15879" width="10" style="74" customWidth="1"/>
    <col min="15880" max="15880" width="11.28515625" style="74" customWidth="1"/>
    <col min="15881" max="15881" width="8.7109375" style="74" customWidth="1"/>
    <col min="15882" max="15882" width="9.85546875" style="74" customWidth="1"/>
    <col min="15883" max="15884" width="8.7109375" style="74" customWidth="1"/>
    <col min="15885" max="15885" width="10.140625" style="74" customWidth="1"/>
    <col min="15886" max="15886" width="8.7109375" style="74" customWidth="1"/>
    <col min="15887" max="15887" width="8.42578125" style="74" customWidth="1"/>
    <col min="15888" max="15888" width="9.85546875" style="74" customWidth="1"/>
    <col min="15889" max="15889" width="6.7109375" style="74" customWidth="1"/>
    <col min="15890" max="15893" width="8.7109375" style="74" customWidth="1"/>
    <col min="15894" max="16129" width="9.140625" style="74"/>
    <col min="16130" max="16130" width="16.140625" style="74" customWidth="1"/>
    <col min="16131" max="16131" width="36.28515625" style="74" customWidth="1"/>
    <col min="16132" max="16132" width="27.7109375" style="74" customWidth="1"/>
    <col min="16133" max="16133" width="8.7109375" style="74" customWidth="1"/>
    <col min="16134" max="16134" width="11.42578125" style="74" customWidth="1"/>
    <col min="16135" max="16135" width="10" style="74" customWidth="1"/>
    <col min="16136" max="16136" width="11.28515625" style="74" customWidth="1"/>
    <col min="16137" max="16137" width="8.7109375" style="74" customWidth="1"/>
    <col min="16138" max="16138" width="9.85546875" style="74" customWidth="1"/>
    <col min="16139" max="16140" width="8.7109375" style="74" customWidth="1"/>
    <col min="16141" max="16141" width="10.140625" style="74" customWidth="1"/>
    <col min="16142" max="16142" width="8.7109375" style="74" customWidth="1"/>
    <col min="16143" max="16143" width="8.42578125" style="74" customWidth="1"/>
    <col min="16144" max="16144" width="9.85546875" style="74" customWidth="1"/>
    <col min="16145" max="16145" width="6.7109375" style="74" customWidth="1"/>
    <col min="16146" max="16149" width="8.7109375" style="74" customWidth="1"/>
    <col min="16150" max="16384" width="9.140625" style="74"/>
  </cols>
  <sheetData>
    <row r="1" spans="1:16" s="27" customFormat="1" ht="22.5" customHeight="1">
      <c r="A1" s="23" t="s">
        <v>225</v>
      </c>
    </row>
    <row r="2" spans="1:16" ht="15" customHeight="1"/>
    <row r="3" spans="1:16" s="70" customFormat="1" ht="33.75" customHeight="1">
      <c r="B3" s="823" t="s">
        <v>617</v>
      </c>
      <c r="C3" s="824"/>
      <c r="D3" s="824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</row>
    <row r="4" spans="1:16">
      <c r="B4" s="645"/>
      <c r="C4" s="645"/>
      <c r="D4" s="646">
        <v>2014</v>
      </c>
      <c r="E4" s="646">
        <v>2015</v>
      </c>
    </row>
    <row r="5" spans="1:16" ht="30" customHeight="1">
      <c r="B5" s="822" t="s">
        <v>475</v>
      </c>
      <c r="C5" s="142" t="s">
        <v>397</v>
      </c>
      <c r="D5" s="144">
        <f>G5/3.4528</f>
        <v>110705.57170991659</v>
      </c>
      <c r="E5" s="144">
        <f>E6+E7</f>
        <v>104539.412</v>
      </c>
      <c r="G5" s="144">
        <v>382244.19799999997</v>
      </c>
    </row>
    <row r="6" spans="1:16" ht="30" customHeight="1">
      <c r="B6" s="822"/>
      <c r="C6" s="143" t="s">
        <v>408</v>
      </c>
      <c r="D6" s="145">
        <f t="shared" ref="D6:D8" si="0">G6/3.4528</f>
        <v>61880.786318350321</v>
      </c>
      <c r="E6" s="378">
        <v>76011.911999999997</v>
      </c>
      <c r="G6" s="378" t="s">
        <v>616</v>
      </c>
    </row>
    <row r="7" spans="1:16" ht="30" customHeight="1">
      <c r="B7" s="822"/>
      <c r="C7" s="143" t="s">
        <v>115</v>
      </c>
      <c r="D7" s="145">
        <f t="shared" si="0"/>
        <v>28960.906800278037</v>
      </c>
      <c r="E7" s="145">
        <v>28527.5</v>
      </c>
      <c r="G7" s="145">
        <v>99996.218999999997</v>
      </c>
    </row>
    <row r="8" spans="1:16" ht="48.75" customHeight="1">
      <c r="B8" s="822"/>
      <c r="C8" s="644" t="s">
        <v>117</v>
      </c>
      <c r="D8" s="145">
        <f t="shared" si="0"/>
        <v>19863.87859128823</v>
      </c>
      <c r="E8" s="145" t="s">
        <v>209</v>
      </c>
      <c r="G8" s="145">
        <v>68586</v>
      </c>
    </row>
    <row r="9" spans="1:16" ht="30" customHeight="1">
      <c r="B9" s="822" t="s">
        <v>409</v>
      </c>
      <c r="C9" s="143" t="s">
        <v>410</v>
      </c>
      <c r="D9" s="195">
        <v>127.2</v>
      </c>
      <c r="E9" s="195">
        <v>131</v>
      </c>
      <c r="G9" s="195">
        <v>127.2</v>
      </c>
    </row>
    <row r="10" spans="1:16" ht="30" customHeight="1">
      <c r="B10" s="822"/>
      <c r="C10" s="143" t="s">
        <v>411</v>
      </c>
      <c r="D10" s="195">
        <v>40.9</v>
      </c>
      <c r="E10" s="195">
        <v>44.7</v>
      </c>
      <c r="G10" s="195">
        <v>40.9</v>
      </c>
    </row>
    <row r="11" spans="1:16" ht="29.25" customHeight="1">
      <c r="B11" s="822" t="s">
        <v>476</v>
      </c>
      <c r="C11" s="142" t="s">
        <v>397</v>
      </c>
      <c r="D11" s="146">
        <f>G11/3.4528</f>
        <v>123.78359592215014</v>
      </c>
      <c r="E11" s="146">
        <v>140.65</v>
      </c>
      <c r="G11" s="146">
        <v>427.4</v>
      </c>
    </row>
    <row r="12" spans="1:16" ht="30" customHeight="1">
      <c r="B12" s="825"/>
      <c r="C12" s="143" t="s">
        <v>412</v>
      </c>
      <c r="D12" s="195">
        <f>G12/3.4528</f>
        <v>156.85820203892493</v>
      </c>
      <c r="E12" s="195">
        <v>178.81</v>
      </c>
      <c r="G12" s="195">
        <v>541.6</v>
      </c>
    </row>
    <row r="13" spans="1:16" ht="30" customHeight="1">
      <c r="B13" s="148" t="s">
        <v>413</v>
      </c>
      <c r="C13" s="76"/>
      <c r="D13" s="147">
        <v>3.8</v>
      </c>
      <c r="E13" s="147">
        <v>3.8</v>
      </c>
      <c r="G13" s="147">
        <v>3.8</v>
      </c>
    </row>
    <row r="14" spans="1:16" ht="15.75">
      <c r="B14" s="77"/>
      <c r="C14" s="78"/>
      <c r="D14" s="79"/>
    </row>
    <row r="15" spans="1:16" ht="15.75">
      <c r="B15" s="77"/>
      <c r="C15" s="78"/>
      <c r="D15" s="79"/>
    </row>
    <row r="18" ht="15.75" customHeight="1"/>
    <row r="19" s="70" customFormat="1" ht="15.75" customHeight="1"/>
    <row r="20" ht="15.75" customHeight="1"/>
    <row r="22" ht="15.75" customHeight="1"/>
    <row r="23" ht="15.75" customHeight="1"/>
    <row r="24" ht="15.75" customHeight="1"/>
    <row r="25" ht="15.75" customHeight="1"/>
    <row r="44" spans="2:2" ht="18.75">
      <c r="B44" s="75"/>
    </row>
    <row r="45" spans="2:2" ht="18.75">
      <c r="B45" s="75"/>
    </row>
    <row r="46" spans="2:2" ht="18.75">
      <c r="B46" s="75"/>
    </row>
    <row r="47" spans="2:2" ht="22.5">
      <c r="B47" s="80"/>
    </row>
    <row r="48" spans="2:2" ht="22.5">
      <c r="B48" s="80"/>
    </row>
    <row r="49" spans="2:2" ht="22.5">
      <c r="B49" s="80"/>
    </row>
    <row r="50" spans="2:2" ht="22.5">
      <c r="B50" s="80"/>
    </row>
    <row r="51" spans="2:2" ht="22.5">
      <c r="B51" s="80"/>
    </row>
    <row r="52" spans="2:2" ht="22.5">
      <c r="B52" s="80"/>
    </row>
  </sheetData>
  <mergeCells count="4">
    <mergeCell ref="B5:B8"/>
    <mergeCell ref="B3:D3"/>
    <mergeCell ref="B9:B10"/>
    <mergeCell ref="B11:B12"/>
  </mergeCells>
  <hyperlinks>
    <hyperlink ref="A1" location="turinys!A1" display="Grįžti į turinį"/>
  </hyperlinks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3"/>
  <sheetViews>
    <sheetView workbookViewId="0">
      <selection activeCell="H30" sqref="H30"/>
    </sheetView>
  </sheetViews>
  <sheetFormatPr defaultRowHeight="12.75"/>
  <cols>
    <col min="1" max="1" width="27" style="6" customWidth="1"/>
    <col min="2" max="251" width="9.140625" style="6"/>
    <col min="252" max="252" width="27" style="6" customWidth="1"/>
    <col min="253" max="253" width="8.7109375" style="6" customWidth="1"/>
    <col min="254" max="254" width="9.140625" style="6"/>
    <col min="255" max="255" width="10.7109375" style="6" customWidth="1"/>
    <col min="256" max="507" width="9.140625" style="6"/>
    <col min="508" max="508" width="27" style="6" customWidth="1"/>
    <col min="509" max="509" width="8.7109375" style="6" customWidth="1"/>
    <col min="510" max="510" width="9.140625" style="6"/>
    <col min="511" max="511" width="10.7109375" style="6" customWidth="1"/>
    <col min="512" max="763" width="9.140625" style="6"/>
    <col min="764" max="764" width="27" style="6" customWidth="1"/>
    <col min="765" max="765" width="8.7109375" style="6" customWidth="1"/>
    <col min="766" max="766" width="9.140625" style="6"/>
    <col min="767" max="767" width="10.7109375" style="6" customWidth="1"/>
    <col min="768" max="1019" width="9.140625" style="6"/>
    <col min="1020" max="1020" width="27" style="6" customWidth="1"/>
    <col min="1021" max="1021" width="8.7109375" style="6" customWidth="1"/>
    <col min="1022" max="1022" width="9.140625" style="6"/>
    <col min="1023" max="1023" width="10.7109375" style="6" customWidth="1"/>
    <col min="1024" max="1275" width="9.140625" style="6"/>
    <col min="1276" max="1276" width="27" style="6" customWidth="1"/>
    <col min="1277" max="1277" width="8.7109375" style="6" customWidth="1"/>
    <col min="1278" max="1278" width="9.140625" style="6"/>
    <col min="1279" max="1279" width="10.7109375" style="6" customWidth="1"/>
    <col min="1280" max="1531" width="9.140625" style="6"/>
    <col min="1532" max="1532" width="27" style="6" customWidth="1"/>
    <col min="1533" max="1533" width="8.7109375" style="6" customWidth="1"/>
    <col min="1534" max="1534" width="9.140625" style="6"/>
    <col min="1535" max="1535" width="10.7109375" style="6" customWidth="1"/>
    <col min="1536" max="1787" width="9.140625" style="6"/>
    <col min="1788" max="1788" width="27" style="6" customWidth="1"/>
    <col min="1789" max="1789" width="8.7109375" style="6" customWidth="1"/>
    <col min="1790" max="1790" width="9.140625" style="6"/>
    <col min="1791" max="1791" width="10.7109375" style="6" customWidth="1"/>
    <col min="1792" max="2043" width="9.140625" style="6"/>
    <col min="2044" max="2044" width="27" style="6" customWidth="1"/>
    <col min="2045" max="2045" width="8.7109375" style="6" customWidth="1"/>
    <col min="2046" max="2046" width="9.140625" style="6"/>
    <col min="2047" max="2047" width="10.7109375" style="6" customWidth="1"/>
    <col min="2048" max="2299" width="9.140625" style="6"/>
    <col min="2300" max="2300" width="27" style="6" customWidth="1"/>
    <col min="2301" max="2301" width="8.7109375" style="6" customWidth="1"/>
    <col min="2302" max="2302" width="9.140625" style="6"/>
    <col min="2303" max="2303" width="10.7109375" style="6" customWidth="1"/>
    <col min="2304" max="2555" width="9.140625" style="6"/>
    <col min="2556" max="2556" width="27" style="6" customWidth="1"/>
    <col min="2557" max="2557" width="8.7109375" style="6" customWidth="1"/>
    <col min="2558" max="2558" width="9.140625" style="6"/>
    <col min="2559" max="2559" width="10.7109375" style="6" customWidth="1"/>
    <col min="2560" max="2811" width="9.140625" style="6"/>
    <col min="2812" max="2812" width="27" style="6" customWidth="1"/>
    <col min="2813" max="2813" width="8.7109375" style="6" customWidth="1"/>
    <col min="2814" max="2814" width="9.140625" style="6"/>
    <col min="2815" max="2815" width="10.7109375" style="6" customWidth="1"/>
    <col min="2816" max="3067" width="9.140625" style="6"/>
    <col min="3068" max="3068" width="27" style="6" customWidth="1"/>
    <col min="3069" max="3069" width="8.7109375" style="6" customWidth="1"/>
    <col min="3070" max="3070" width="9.140625" style="6"/>
    <col min="3071" max="3071" width="10.7109375" style="6" customWidth="1"/>
    <col min="3072" max="3323" width="9.140625" style="6"/>
    <col min="3324" max="3324" width="27" style="6" customWidth="1"/>
    <col min="3325" max="3325" width="8.7109375" style="6" customWidth="1"/>
    <col min="3326" max="3326" width="9.140625" style="6"/>
    <col min="3327" max="3327" width="10.7109375" style="6" customWidth="1"/>
    <col min="3328" max="3579" width="9.140625" style="6"/>
    <col min="3580" max="3580" width="27" style="6" customWidth="1"/>
    <col min="3581" max="3581" width="8.7109375" style="6" customWidth="1"/>
    <col min="3582" max="3582" width="9.140625" style="6"/>
    <col min="3583" max="3583" width="10.7109375" style="6" customWidth="1"/>
    <col min="3584" max="3835" width="9.140625" style="6"/>
    <col min="3836" max="3836" width="27" style="6" customWidth="1"/>
    <col min="3837" max="3837" width="8.7109375" style="6" customWidth="1"/>
    <col min="3838" max="3838" width="9.140625" style="6"/>
    <col min="3839" max="3839" width="10.7109375" style="6" customWidth="1"/>
    <col min="3840" max="4091" width="9.140625" style="6"/>
    <col min="4092" max="4092" width="27" style="6" customWidth="1"/>
    <col min="4093" max="4093" width="8.7109375" style="6" customWidth="1"/>
    <col min="4094" max="4094" width="9.140625" style="6"/>
    <col min="4095" max="4095" width="10.7109375" style="6" customWidth="1"/>
    <col min="4096" max="4347" width="9.140625" style="6"/>
    <col min="4348" max="4348" width="27" style="6" customWidth="1"/>
    <col min="4349" max="4349" width="8.7109375" style="6" customWidth="1"/>
    <col min="4350" max="4350" width="9.140625" style="6"/>
    <col min="4351" max="4351" width="10.7109375" style="6" customWidth="1"/>
    <col min="4352" max="4603" width="9.140625" style="6"/>
    <col min="4604" max="4604" width="27" style="6" customWidth="1"/>
    <col min="4605" max="4605" width="8.7109375" style="6" customWidth="1"/>
    <col min="4606" max="4606" width="9.140625" style="6"/>
    <col min="4607" max="4607" width="10.7109375" style="6" customWidth="1"/>
    <col min="4608" max="4859" width="9.140625" style="6"/>
    <col min="4860" max="4860" width="27" style="6" customWidth="1"/>
    <col min="4861" max="4861" width="8.7109375" style="6" customWidth="1"/>
    <col min="4862" max="4862" width="9.140625" style="6"/>
    <col min="4863" max="4863" width="10.7109375" style="6" customWidth="1"/>
    <col min="4864" max="5115" width="9.140625" style="6"/>
    <col min="5116" max="5116" width="27" style="6" customWidth="1"/>
    <col min="5117" max="5117" width="8.7109375" style="6" customWidth="1"/>
    <col min="5118" max="5118" width="9.140625" style="6"/>
    <col min="5119" max="5119" width="10.7109375" style="6" customWidth="1"/>
    <col min="5120" max="5371" width="9.140625" style="6"/>
    <col min="5372" max="5372" width="27" style="6" customWidth="1"/>
    <col min="5373" max="5373" width="8.7109375" style="6" customWidth="1"/>
    <col min="5374" max="5374" width="9.140625" style="6"/>
    <col min="5375" max="5375" width="10.7109375" style="6" customWidth="1"/>
    <col min="5376" max="5627" width="9.140625" style="6"/>
    <col min="5628" max="5628" width="27" style="6" customWidth="1"/>
    <col min="5629" max="5629" width="8.7109375" style="6" customWidth="1"/>
    <col min="5630" max="5630" width="9.140625" style="6"/>
    <col min="5631" max="5631" width="10.7109375" style="6" customWidth="1"/>
    <col min="5632" max="5883" width="9.140625" style="6"/>
    <col min="5884" max="5884" width="27" style="6" customWidth="1"/>
    <col min="5885" max="5885" width="8.7109375" style="6" customWidth="1"/>
    <col min="5886" max="5886" width="9.140625" style="6"/>
    <col min="5887" max="5887" width="10.7109375" style="6" customWidth="1"/>
    <col min="5888" max="6139" width="9.140625" style="6"/>
    <col min="6140" max="6140" width="27" style="6" customWidth="1"/>
    <col min="6141" max="6141" width="8.7109375" style="6" customWidth="1"/>
    <col min="6142" max="6142" width="9.140625" style="6"/>
    <col min="6143" max="6143" width="10.7109375" style="6" customWidth="1"/>
    <col min="6144" max="6395" width="9.140625" style="6"/>
    <col min="6396" max="6396" width="27" style="6" customWidth="1"/>
    <col min="6397" max="6397" width="8.7109375" style="6" customWidth="1"/>
    <col min="6398" max="6398" width="9.140625" style="6"/>
    <col min="6399" max="6399" width="10.7109375" style="6" customWidth="1"/>
    <col min="6400" max="6651" width="9.140625" style="6"/>
    <col min="6652" max="6652" width="27" style="6" customWidth="1"/>
    <col min="6653" max="6653" width="8.7109375" style="6" customWidth="1"/>
    <col min="6654" max="6654" width="9.140625" style="6"/>
    <col min="6655" max="6655" width="10.7109375" style="6" customWidth="1"/>
    <col min="6656" max="6907" width="9.140625" style="6"/>
    <col min="6908" max="6908" width="27" style="6" customWidth="1"/>
    <col min="6909" max="6909" width="8.7109375" style="6" customWidth="1"/>
    <col min="6910" max="6910" width="9.140625" style="6"/>
    <col min="6911" max="6911" width="10.7109375" style="6" customWidth="1"/>
    <col min="6912" max="7163" width="9.140625" style="6"/>
    <col min="7164" max="7164" width="27" style="6" customWidth="1"/>
    <col min="7165" max="7165" width="8.7109375" style="6" customWidth="1"/>
    <col min="7166" max="7166" width="9.140625" style="6"/>
    <col min="7167" max="7167" width="10.7109375" style="6" customWidth="1"/>
    <col min="7168" max="7419" width="9.140625" style="6"/>
    <col min="7420" max="7420" width="27" style="6" customWidth="1"/>
    <col min="7421" max="7421" width="8.7109375" style="6" customWidth="1"/>
    <col min="7422" max="7422" width="9.140625" style="6"/>
    <col min="7423" max="7423" width="10.7109375" style="6" customWidth="1"/>
    <col min="7424" max="7675" width="9.140625" style="6"/>
    <col min="7676" max="7676" width="27" style="6" customWidth="1"/>
    <col min="7677" max="7677" width="8.7109375" style="6" customWidth="1"/>
    <col min="7678" max="7678" width="9.140625" style="6"/>
    <col min="7679" max="7679" width="10.7109375" style="6" customWidth="1"/>
    <col min="7680" max="7931" width="9.140625" style="6"/>
    <col min="7932" max="7932" width="27" style="6" customWidth="1"/>
    <col min="7933" max="7933" width="8.7109375" style="6" customWidth="1"/>
    <col min="7934" max="7934" width="9.140625" style="6"/>
    <col min="7935" max="7935" width="10.7109375" style="6" customWidth="1"/>
    <col min="7936" max="8187" width="9.140625" style="6"/>
    <col min="8188" max="8188" width="27" style="6" customWidth="1"/>
    <col min="8189" max="8189" width="8.7109375" style="6" customWidth="1"/>
    <col min="8190" max="8190" width="9.140625" style="6"/>
    <col min="8191" max="8191" width="10.7109375" style="6" customWidth="1"/>
    <col min="8192" max="8443" width="9.140625" style="6"/>
    <col min="8444" max="8444" width="27" style="6" customWidth="1"/>
    <col min="8445" max="8445" width="8.7109375" style="6" customWidth="1"/>
    <col min="8446" max="8446" width="9.140625" style="6"/>
    <col min="8447" max="8447" width="10.7109375" style="6" customWidth="1"/>
    <col min="8448" max="8699" width="9.140625" style="6"/>
    <col min="8700" max="8700" width="27" style="6" customWidth="1"/>
    <col min="8701" max="8701" width="8.7109375" style="6" customWidth="1"/>
    <col min="8702" max="8702" width="9.140625" style="6"/>
    <col min="8703" max="8703" width="10.7109375" style="6" customWidth="1"/>
    <col min="8704" max="8955" width="9.140625" style="6"/>
    <col min="8956" max="8956" width="27" style="6" customWidth="1"/>
    <col min="8957" max="8957" width="8.7109375" style="6" customWidth="1"/>
    <col min="8958" max="8958" width="9.140625" style="6"/>
    <col min="8959" max="8959" width="10.7109375" style="6" customWidth="1"/>
    <col min="8960" max="9211" width="9.140625" style="6"/>
    <col min="9212" max="9212" width="27" style="6" customWidth="1"/>
    <col min="9213" max="9213" width="8.7109375" style="6" customWidth="1"/>
    <col min="9214" max="9214" width="9.140625" style="6"/>
    <col min="9215" max="9215" width="10.7109375" style="6" customWidth="1"/>
    <col min="9216" max="9467" width="9.140625" style="6"/>
    <col min="9468" max="9468" width="27" style="6" customWidth="1"/>
    <col min="9469" max="9469" width="8.7109375" style="6" customWidth="1"/>
    <col min="9470" max="9470" width="9.140625" style="6"/>
    <col min="9471" max="9471" width="10.7109375" style="6" customWidth="1"/>
    <col min="9472" max="9723" width="9.140625" style="6"/>
    <col min="9724" max="9724" width="27" style="6" customWidth="1"/>
    <col min="9725" max="9725" width="8.7109375" style="6" customWidth="1"/>
    <col min="9726" max="9726" width="9.140625" style="6"/>
    <col min="9727" max="9727" width="10.7109375" style="6" customWidth="1"/>
    <col min="9728" max="9979" width="9.140625" style="6"/>
    <col min="9980" max="9980" width="27" style="6" customWidth="1"/>
    <col min="9981" max="9981" width="8.7109375" style="6" customWidth="1"/>
    <col min="9982" max="9982" width="9.140625" style="6"/>
    <col min="9983" max="9983" width="10.7109375" style="6" customWidth="1"/>
    <col min="9984" max="10235" width="9.140625" style="6"/>
    <col min="10236" max="10236" width="27" style="6" customWidth="1"/>
    <col min="10237" max="10237" width="8.7109375" style="6" customWidth="1"/>
    <col min="10238" max="10238" width="9.140625" style="6"/>
    <col min="10239" max="10239" width="10.7109375" style="6" customWidth="1"/>
    <col min="10240" max="10491" width="9.140625" style="6"/>
    <col min="10492" max="10492" width="27" style="6" customWidth="1"/>
    <col min="10493" max="10493" width="8.7109375" style="6" customWidth="1"/>
    <col min="10494" max="10494" width="9.140625" style="6"/>
    <col min="10495" max="10495" width="10.7109375" style="6" customWidth="1"/>
    <col min="10496" max="10747" width="9.140625" style="6"/>
    <col min="10748" max="10748" width="27" style="6" customWidth="1"/>
    <col min="10749" max="10749" width="8.7109375" style="6" customWidth="1"/>
    <col min="10750" max="10750" width="9.140625" style="6"/>
    <col min="10751" max="10751" width="10.7109375" style="6" customWidth="1"/>
    <col min="10752" max="11003" width="9.140625" style="6"/>
    <col min="11004" max="11004" width="27" style="6" customWidth="1"/>
    <col min="11005" max="11005" width="8.7109375" style="6" customWidth="1"/>
    <col min="11006" max="11006" width="9.140625" style="6"/>
    <col min="11007" max="11007" width="10.7109375" style="6" customWidth="1"/>
    <col min="11008" max="11259" width="9.140625" style="6"/>
    <col min="11260" max="11260" width="27" style="6" customWidth="1"/>
    <col min="11261" max="11261" width="8.7109375" style="6" customWidth="1"/>
    <col min="11262" max="11262" width="9.140625" style="6"/>
    <col min="11263" max="11263" width="10.7109375" style="6" customWidth="1"/>
    <col min="11264" max="11515" width="9.140625" style="6"/>
    <col min="11516" max="11516" width="27" style="6" customWidth="1"/>
    <col min="11517" max="11517" width="8.7109375" style="6" customWidth="1"/>
    <col min="11518" max="11518" width="9.140625" style="6"/>
    <col min="11519" max="11519" width="10.7109375" style="6" customWidth="1"/>
    <col min="11520" max="11771" width="9.140625" style="6"/>
    <col min="11772" max="11772" width="27" style="6" customWidth="1"/>
    <col min="11773" max="11773" width="8.7109375" style="6" customWidth="1"/>
    <col min="11774" max="11774" width="9.140625" style="6"/>
    <col min="11775" max="11775" width="10.7109375" style="6" customWidth="1"/>
    <col min="11776" max="12027" width="9.140625" style="6"/>
    <col min="12028" max="12028" width="27" style="6" customWidth="1"/>
    <col min="12029" max="12029" width="8.7109375" style="6" customWidth="1"/>
    <col min="12030" max="12030" width="9.140625" style="6"/>
    <col min="12031" max="12031" width="10.7109375" style="6" customWidth="1"/>
    <col min="12032" max="12283" width="9.140625" style="6"/>
    <col min="12284" max="12284" width="27" style="6" customWidth="1"/>
    <col min="12285" max="12285" width="8.7109375" style="6" customWidth="1"/>
    <col min="12286" max="12286" width="9.140625" style="6"/>
    <col min="12287" max="12287" width="10.7109375" style="6" customWidth="1"/>
    <col min="12288" max="12539" width="9.140625" style="6"/>
    <col min="12540" max="12540" width="27" style="6" customWidth="1"/>
    <col min="12541" max="12541" width="8.7109375" style="6" customWidth="1"/>
    <col min="12542" max="12542" width="9.140625" style="6"/>
    <col min="12543" max="12543" width="10.7109375" style="6" customWidth="1"/>
    <col min="12544" max="12795" width="9.140625" style="6"/>
    <col min="12796" max="12796" width="27" style="6" customWidth="1"/>
    <col min="12797" max="12797" width="8.7109375" style="6" customWidth="1"/>
    <col min="12798" max="12798" width="9.140625" style="6"/>
    <col min="12799" max="12799" width="10.7109375" style="6" customWidth="1"/>
    <col min="12800" max="13051" width="9.140625" style="6"/>
    <col min="13052" max="13052" width="27" style="6" customWidth="1"/>
    <col min="13053" max="13053" width="8.7109375" style="6" customWidth="1"/>
    <col min="13054" max="13054" width="9.140625" style="6"/>
    <col min="13055" max="13055" width="10.7109375" style="6" customWidth="1"/>
    <col min="13056" max="13307" width="9.140625" style="6"/>
    <col min="13308" max="13308" width="27" style="6" customWidth="1"/>
    <col min="13309" max="13309" width="8.7109375" style="6" customWidth="1"/>
    <col min="13310" max="13310" width="9.140625" style="6"/>
    <col min="13311" max="13311" width="10.7109375" style="6" customWidth="1"/>
    <col min="13312" max="13563" width="9.140625" style="6"/>
    <col min="13564" max="13564" width="27" style="6" customWidth="1"/>
    <col min="13565" max="13565" width="8.7109375" style="6" customWidth="1"/>
    <col min="13566" max="13566" width="9.140625" style="6"/>
    <col min="13567" max="13567" width="10.7109375" style="6" customWidth="1"/>
    <col min="13568" max="13819" width="9.140625" style="6"/>
    <col min="13820" max="13820" width="27" style="6" customWidth="1"/>
    <col min="13821" max="13821" width="8.7109375" style="6" customWidth="1"/>
    <col min="13822" max="13822" width="9.140625" style="6"/>
    <col min="13823" max="13823" width="10.7109375" style="6" customWidth="1"/>
    <col min="13824" max="14075" width="9.140625" style="6"/>
    <col min="14076" max="14076" width="27" style="6" customWidth="1"/>
    <col min="14077" max="14077" width="8.7109375" style="6" customWidth="1"/>
    <col min="14078" max="14078" width="9.140625" style="6"/>
    <col min="14079" max="14079" width="10.7109375" style="6" customWidth="1"/>
    <col min="14080" max="14331" width="9.140625" style="6"/>
    <col min="14332" max="14332" width="27" style="6" customWidth="1"/>
    <col min="14333" max="14333" width="8.7109375" style="6" customWidth="1"/>
    <col min="14334" max="14334" width="9.140625" style="6"/>
    <col min="14335" max="14335" width="10.7109375" style="6" customWidth="1"/>
    <col min="14336" max="14587" width="9.140625" style="6"/>
    <col min="14588" max="14588" width="27" style="6" customWidth="1"/>
    <col min="14589" max="14589" width="8.7109375" style="6" customWidth="1"/>
    <col min="14590" max="14590" width="9.140625" style="6"/>
    <col min="14591" max="14591" width="10.7109375" style="6" customWidth="1"/>
    <col min="14592" max="14843" width="9.140625" style="6"/>
    <col min="14844" max="14844" width="27" style="6" customWidth="1"/>
    <col min="14845" max="14845" width="8.7109375" style="6" customWidth="1"/>
    <col min="14846" max="14846" width="9.140625" style="6"/>
    <col min="14847" max="14847" width="10.7109375" style="6" customWidth="1"/>
    <col min="14848" max="15099" width="9.140625" style="6"/>
    <col min="15100" max="15100" width="27" style="6" customWidth="1"/>
    <col min="15101" max="15101" width="8.7109375" style="6" customWidth="1"/>
    <col min="15102" max="15102" width="9.140625" style="6"/>
    <col min="15103" max="15103" width="10.7109375" style="6" customWidth="1"/>
    <col min="15104" max="15355" width="9.140625" style="6"/>
    <col min="15356" max="15356" width="27" style="6" customWidth="1"/>
    <col min="15357" max="15357" width="8.7109375" style="6" customWidth="1"/>
    <col min="15358" max="15358" width="9.140625" style="6"/>
    <col min="15359" max="15359" width="10.7109375" style="6" customWidth="1"/>
    <col min="15360" max="15611" width="9.140625" style="6"/>
    <col min="15612" max="15612" width="27" style="6" customWidth="1"/>
    <col min="15613" max="15613" width="8.7109375" style="6" customWidth="1"/>
    <col min="15614" max="15614" width="9.140625" style="6"/>
    <col min="15615" max="15615" width="10.7109375" style="6" customWidth="1"/>
    <col min="15616" max="15867" width="9.140625" style="6"/>
    <col min="15868" max="15868" width="27" style="6" customWidth="1"/>
    <col min="15869" max="15869" width="8.7109375" style="6" customWidth="1"/>
    <col min="15870" max="15870" width="9.140625" style="6"/>
    <col min="15871" max="15871" width="10.7109375" style="6" customWidth="1"/>
    <col min="15872" max="16123" width="9.140625" style="6"/>
    <col min="16124" max="16124" width="27" style="6" customWidth="1"/>
    <col min="16125" max="16125" width="8.7109375" style="6" customWidth="1"/>
    <col min="16126" max="16126" width="9.140625" style="6"/>
    <col min="16127" max="16127" width="10.7109375" style="6" customWidth="1"/>
    <col min="16128" max="16384" width="9.140625" style="6"/>
  </cols>
  <sheetData>
    <row r="1" spans="1:6" s="27" customFormat="1" ht="22.5" customHeight="1">
      <c r="A1" s="23" t="s">
        <v>225</v>
      </c>
    </row>
    <row r="3" spans="1:6" ht="13.5" customHeight="1">
      <c r="E3" s="6" t="s">
        <v>278</v>
      </c>
      <c r="F3" s="6" t="s">
        <v>277</v>
      </c>
    </row>
    <row r="4" spans="1:6">
      <c r="D4" s="6" t="s">
        <v>398</v>
      </c>
      <c r="E4" s="73">
        <v>8.5000000000000006E-2</v>
      </c>
      <c r="F4" s="73">
        <v>6.3E-2</v>
      </c>
    </row>
    <row r="5" spans="1:6">
      <c r="D5" s="6" t="s">
        <v>399</v>
      </c>
      <c r="E5" s="73">
        <v>2.1</v>
      </c>
      <c r="F5" s="73">
        <v>1.8</v>
      </c>
    </row>
    <row r="6" spans="1:6">
      <c r="D6" s="6" t="s">
        <v>400</v>
      </c>
      <c r="E6" s="73">
        <v>4</v>
      </c>
      <c r="F6" s="73">
        <v>3</v>
      </c>
    </row>
    <row r="7" spans="1:6">
      <c r="D7" s="6" t="s">
        <v>401</v>
      </c>
      <c r="E7" s="73">
        <v>3.4</v>
      </c>
      <c r="F7" s="73">
        <v>2.4</v>
      </c>
    </row>
    <row r="8" spans="1:6">
      <c r="D8" s="6" t="s">
        <v>402</v>
      </c>
      <c r="E8" s="73">
        <v>2.8</v>
      </c>
      <c r="F8" s="73">
        <v>2.2000000000000002</v>
      </c>
    </row>
    <row r="9" spans="1:6">
      <c r="D9" s="6" t="s">
        <v>403</v>
      </c>
      <c r="E9" s="73">
        <v>2.7</v>
      </c>
      <c r="F9" s="73">
        <v>2.4</v>
      </c>
    </row>
    <row r="10" spans="1:6">
      <c r="D10" s="6" t="s">
        <v>404</v>
      </c>
      <c r="E10" s="73">
        <v>2.9</v>
      </c>
      <c r="F10" s="73">
        <v>2.6</v>
      </c>
    </row>
    <row r="11" spans="1:6">
      <c r="D11" s="6" t="s">
        <v>405</v>
      </c>
      <c r="E11" s="73">
        <v>3.3</v>
      </c>
      <c r="F11" s="73">
        <v>3</v>
      </c>
    </row>
    <row r="12" spans="1:6">
      <c r="D12" s="6" t="s">
        <v>406</v>
      </c>
      <c r="E12" s="73">
        <v>3.6</v>
      </c>
      <c r="F12" s="73">
        <v>3.1</v>
      </c>
    </row>
    <row r="13" spans="1:6">
      <c r="D13" s="6" t="s">
        <v>407</v>
      </c>
      <c r="E13" s="73">
        <v>0.81499999999999995</v>
      </c>
      <c r="F13" s="73">
        <v>1.5</v>
      </c>
    </row>
  </sheetData>
  <hyperlinks>
    <hyperlink ref="A1" location="turinys!A1" display="Grįžti į turinį"/>
  </hyperlinks>
  <pageMargins left="0.25" right="0.25" top="0.75" bottom="0.75" header="0.3" footer="0.3"/>
  <pageSetup paperSize="9" orientation="portrait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16"/>
  <sheetViews>
    <sheetView workbookViewId="0">
      <selection activeCell="J37" sqref="J37"/>
    </sheetView>
  </sheetViews>
  <sheetFormatPr defaultRowHeight="12.75"/>
  <cols>
    <col min="1" max="1" width="27" style="6" customWidth="1"/>
    <col min="2" max="2" width="10.28515625" style="6" customWidth="1"/>
    <col min="3" max="3" width="9.140625" style="6"/>
    <col min="4" max="4" width="10.7109375" style="6" customWidth="1"/>
    <col min="5" max="256" width="9.140625" style="6"/>
    <col min="257" max="257" width="27" style="6" customWidth="1"/>
    <col min="258" max="258" width="8.7109375" style="6" customWidth="1"/>
    <col min="259" max="259" width="9.140625" style="6"/>
    <col min="260" max="260" width="10.7109375" style="6" customWidth="1"/>
    <col min="261" max="512" width="9.140625" style="6"/>
    <col min="513" max="513" width="27" style="6" customWidth="1"/>
    <col min="514" max="514" width="8.7109375" style="6" customWidth="1"/>
    <col min="515" max="515" width="9.140625" style="6"/>
    <col min="516" max="516" width="10.7109375" style="6" customWidth="1"/>
    <col min="517" max="768" width="9.140625" style="6"/>
    <col min="769" max="769" width="27" style="6" customWidth="1"/>
    <col min="770" max="770" width="8.7109375" style="6" customWidth="1"/>
    <col min="771" max="771" width="9.140625" style="6"/>
    <col min="772" max="772" width="10.7109375" style="6" customWidth="1"/>
    <col min="773" max="1024" width="9.140625" style="6"/>
    <col min="1025" max="1025" width="27" style="6" customWidth="1"/>
    <col min="1026" max="1026" width="8.7109375" style="6" customWidth="1"/>
    <col min="1027" max="1027" width="9.140625" style="6"/>
    <col min="1028" max="1028" width="10.7109375" style="6" customWidth="1"/>
    <col min="1029" max="1280" width="9.140625" style="6"/>
    <col min="1281" max="1281" width="27" style="6" customWidth="1"/>
    <col min="1282" max="1282" width="8.7109375" style="6" customWidth="1"/>
    <col min="1283" max="1283" width="9.140625" style="6"/>
    <col min="1284" max="1284" width="10.7109375" style="6" customWidth="1"/>
    <col min="1285" max="1536" width="9.140625" style="6"/>
    <col min="1537" max="1537" width="27" style="6" customWidth="1"/>
    <col min="1538" max="1538" width="8.7109375" style="6" customWidth="1"/>
    <col min="1539" max="1539" width="9.140625" style="6"/>
    <col min="1540" max="1540" width="10.7109375" style="6" customWidth="1"/>
    <col min="1541" max="1792" width="9.140625" style="6"/>
    <col min="1793" max="1793" width="27" style="6" customWidth="1"/>
    <col min="1794" max="1794" width="8.7109375" style="6" customWidth="1"/>
    <col min="1795" max="1795" width="9.140625" style="6"/>
    <col min="1796" max="1796" width="10.7109375" style="6" customWidth="1"/>
    <col min="1797" max="2048" width="9.140625" style="6"/>
    <col min="2049" max="2049" width="27" style="6" customWidth="1"/>
    <col min="2050" max="2050" width="8.7109375" style="6" customWidth="1"/>
    <col min="2051" max="2051" width="9.140625" style="6"/>
    <col min="2052" max="2052" width="10.7109375" style="6" customWidth="1"/>
    <col min="2053" max="2304" width="9.140625" style="6"/>
    <col min="2305" max="2305" width="27" style="6" customWidth="1"/>
    <col min="2306" max="2306" width="8.7109375" style="6" customWidth="1"/>
    <col min="2307" max="2307" width="9.140625" style="6"/>
    <col min="2308" max="2308" width="10.7109375" style="6" customWidth="1"/>
    <col min="2309" max="2560" width="9.140625" style="6"/>
    <col min="2561" max="2561" width="27" style="6" customWidth="1"/>
    <col min="2562" max="2562" width="8.7109375" style="6" customWidth="1"/>
    <col min="2563" max="2563" width="9.140625" style="6"/>
    <col min="2564" max="2564" width="10.7109375" style="6" customWidth="1"/>
    <col min="2565" max="2816" width="9.140625" style="6"/>
    <col min="2817" max="2817" width="27" style="6" customWidth="1"/>
    <col min="2818" max="2818" width="8.7109375" style="6" customWidth="1"/>
    <col min="2819" max="2819" width="9.140625" style="6"/>
    <col min="2820" max="2820" width="10.7109375" style="6" customWidth="1"/>
    <col min="2821" max="3072" width="9.140625" style="6"/>
    <col min="3073" max="3073" width="27" style="6" customWidth="1"/>
    <col min="3074" max="3074" width="8.7109375" style="6" customWidth="1"/>
    <col min="3075" max="3075" width="9.140625" style="6"/>
    <col min="3076" max="3076" width="10.7109375" style="6" customWidth="1"/>
    <col min="3077" max="3328" width="9.140625" style="6"/>
    <col min="3329" max="3329" width="27" style="6" customWidth="1"/>
    <col min="3330" max="3330" width="8.7109375" style="6" customWidth="1"/>
    <col min="3331" max="3331" width="9.140625" style="6"/>
    <col min="3332" max="3332" width="10.7109375" style="6" customWidth="1"/>
    <col min="3333" max="3584" width="9.140625" style="6"/>
    <col min="3585" max="3585" width="27" style="6" customWidth="1"/>
    <col min="3586" max="3586" width="8.7109375" style="6" customWidth="1"/>
    <col min="3587" max="3587" width="9.140625" style="6"/>
    <col min="3588" max="3588" width="10.7109375" style="6" customWidth="1"/>
    <col min="3589" max="3840" width="9.140625" style="6"/>
    <col min="3841" max="3841" width="27" style="6" customWidth="1"/>
    <col min="3842" max="3842" width="8.7109375" style="6" customWidth="1"/>
    <col min="3843" max="3843" width="9.140625" style="6"/>
    <col min="3844" max="3844" width="10.7109375" style="6" customWidth="1"/>
    <col min="3845" max="4096" width="9.140625" style="6"/>
    <col min="4097" max="4097" width="27" style="6" customWidth="1"/>
    <col min="4098" max="4098" width="8.7109375" style="6" customWidth="1"/>
    <col min="4099" max="4099" width="9.140625" style="6"/>
    <col min="4100" max="4100" width="10.7109375" style="6" customWidth="1"/>
    <col min="4101" max="4352" width="9.140625" style="6"/>
    <col min="4353" max="4353" width="27" style="6" customWidth="1"/>
    <col min="4354" max="4354" width="8.7109375" style="6" customWidth="1"/>
    <col min="4355" max="4355" width="9.140625" style="6"/>
    <col min="4356" max="4356" width="10.7109375" style="6" customWidth="1"/>
    <col min="4357" max="4608" width="9.140625" style="6"/>
    <col min="4609" max="4609" width="27" style="6" customWidth="1"/>
    <col min="4610" max="4610" width="8.7109375" style="6" customWidth="1"/>
    <col min="4611" max="4611" width="9.140625" style="6"/>
    <col min="4612" max="4612" width="10.7109375" style="6" customWidth="1"/>
    <col min="4613" max="4864" width="9.140625" style="6"/>
    <col min="4865" max="4865" width="27" style="6" customWidth="1"/>
    <col min="4866" max="4866" width="8.7109375" style="6" customWidth="1"/>
    <col min="4867" max="4867" width="9.140625" style="6"/>
    <col min="4868" max="4868" width="10.7109375" style="6" customWidth="1"/>
    <col min="4869" max="5120" width="9.140625" style="6"/>
    <col min="5121" max="5121" width="27" style="6" customWidth="1"/>
    <col min="5122" max="5122" width="8.7109375" style="6" customWidth="1"/>
    <col min="5123" max="5123" width="9.140625" style="6"/>
    <col min="5124" max="5124" width="10.7109375" style="6" customWidth="1"/>
    <col min="5125" max="5376" width="9.140625" style="6"/>
    <col min="5377" max="5377" width="27" style="6" customWidth="1"/>
    <col min="5378" max="5378" width="8.7109375" style="6" customWidth="1"/>
    <col min="5379" max="5379" width="9.140625" style="6"/>
    <col min="5380" max="5380" width="10.7109375" style="6" customWidth="1"/>
    <col min="5381" max="5632" width="9.140625" style="6"/>
    <col min="5633" max="5633" width="27" style="6" customWidth="1"/>
    <col min="5634" max="5634" width="8.7109375" style="6" customWidth="1"/>
    <col min="5635" max="5635" width="9.140625" style="6"/>
    <col min="5636" max="5636" width="10.7109375" style="6" customWidth="1"/>
    <col min="5637" max="5888" width="9.140625" style="6"/>
    <col min="5889" max="5889" width="27" style="6" customWidth="1"/>
    <col min="5890" max="5890" width="8.7109375" style="6" customWidth="1"/>
    <col min="5891" max="5891" width="9.140625" style="6"/>
    <col min="5892" max="5892" width="10.7109375" style="6" customWidth="1"/>
    <col min="5893" max="6144" width="9.140625" style="6"/>
    <col min="6145" max="6145" width="27" style="6" customWidth="1"/>
    <col min="6146" max="6146" width="8.7109375" style="6" customWidth="1"/>
    <col min="6147" max="6147" width="9.140625" style="6"/>
    <col min="6148" max="6148" width="10.7109375" style="6" customWidth="1"/>
    <col min="6149" max="6400" width="9.140625" style="6"/>
    <col min="6401" max="6401" width="27" style="6" customWidth="1"/>
    <col min="6402" max="6402" width="8.7109375" style="6" customWidth="1"/>
    <col min="6403" max="6403" width="9.140625" style="6"/>
    <col min="6404" max="6404" width="10.7109375" style="6" customWidth="1"/>
    <col min="6405" max="6656" width="9.140625" style="6"/>
    <col min="6657" max="6657" width="27" style="6" customWidth="1"/>
    <col min="6658" max="6658" width="8.7109375" style="6" customWidth="1"/>
    <col min="6659" max="6659" width="9.140625" style="6"/>
    <col min="6660" max="6660" width="10.7109375" style="6" customWidth="1"/>
    <col min="6661" max="6912" width="9.140625" style="6"/>
    <col min="6913" max="6913" width="27" style="6" customWidth="1"/>
    <col min="6914" max="6914" width="8.7109375" style="6" customWidth="1"/>
    <col min="6915" max="6915" width="9.140625" style="6"/>
    <col min="6916" max="6916" width="10.7109375" style="6" customWidth="1"/>
    <col min="6917" max="7168" width="9.140625" style="6"/>
    <col min="7169" max="7169" width="27" style="6" customWidth="1"/>
    <col min="7170" max="7170" width="8.7109375" style="6" customWidth="1"/>
    <col min="7171" max="7171" width="9.140625" style="6"/>
    <col min="7172" max="7172" width="10.7109375" style="6" customWidth="1"/>
    <col min="7173" max="7424" width="9.140625" style="6"/>
    <col min="7425" max="7425" width="27" style="6" customWidth="1"/>
    <col min="7426" max="7426" width="8.7109375" style="6" customWidth="1"/>
    <col min="7427" max="7427" width="9.140625" style="6"/>
    <col min="7428" max="7428" width="10.7109375" style="6" customWidth="1"/>
    <col min="7429" max="7680" width="9.140625" style="6"/>
    <col min="7681" max="7681" width="27" style="6" customWidth="1"/>
    <col min="7682" max="7682" width="8.7109375" style="6" customWidth="1"/>
    <col min="7683" max="7683" width="9.140625" style="6"/>
    <col min="7684" max="7684" width="10.7109375" style="6" customWidth="1"/>
    <col min="7685" max="7936" width="9.140625" style="6"/>
    <col min="7937" max="7937" width="27" style="6" customWidth="1"/>
    <col min="7938" max="7938" width="8.7109375" style="6" customWidth="1"/>
    <col min="7939" max="7939" width="9.140625" style="6"/>
    <col min="7940" max="7940" width="10.7109375" style="6" customWidth="1"/>
    <col min="7941" max="8192" width="9.140625" style="6"/>
    <col min="8193" max="8193" width="27" style="6" customWidth="1"/>
    <col min="8194" max="8194" width="8.7109375" style="6" customWidth="1"/>
    <col min="8195" max="8195" width="9.140625" style="6"/>
    <col min="8196" max="8196" width="10.7109375" style="6" customWidth="1"/>
    <col min="8197" max="8448" width="9.140625" style="6"/>
    <col min="8449" max="8449" width="27" style="6" customWidth="1"/>
    <col min="8450" max="8450" width="8.7109375" style="6" customWidth="1"/>
    <col min="8451" max="8451" width="9.140625" style="6"/>
    <col min="8452" max="8452" width="10.7109375" style="6" customWidth="1"/>
    <col min="8453" max="8704" width="9.140625" style="6"/>
    <col min="8705" max="8705" width="27" style="6" customWidth="1"/>
    <col min="8706" max="8706" width="8.7109375" style="6" customWidth="1"/>
    <col min="8707" max="8707" width="9.140625" style="6"/>
    <col min="8708" max="8708" width="10.7109375" style="6" customWidth="1"/>
    <col min="8709" max="8960" width="9.140625" style="6"/>
    <col min="8961" max="8961" width="27" style="6" customWidth="1"/>
    <col min="8962" max="8962" width="8.7109375" style="6" customWidth="1"/>
    <col min="8963" max="8963" width="9.140625" style="6"/>
    <col min="8964" max="8964" width="10.7109375" style="6" customWidth="1"/>
    <col min="8965" max="9216" width="9.140625" style="6"/>
    <col min="9217" max="9217" width="27" style="6" customWidth="1"/>
    <col min="9218" max="9218" width="8.7109375" style="6" customWidth="1"/>
    <col min="9219" max="9219" width="9.140625" style="6"/>
    <col min="9220" max="9220" width="10.7109375" style="6" customWidth="1"/>
    <col min="9221" max="9472" width="9.140625" style="6"/>
    <col min="9473" max="9473" width="27" style="6" customWidth="1"/>
    <col min="9474" max="9474" width="8.7109375" style="6" customWidth="1"/>
    <col min="9475" max="9475" width="9.140625" style="6"/>
    <col min="9476" max="9476" width="10.7109375" style="6" customWidth="1"/>
    <col min="9477" max="9728" width="9.140625" style="6"/>
    <col min="9729" max="9729" width="27" style="6" customWidth="1"/>
    <col min="9730" max="9730" width="8.7109375" style="6" customWidth="1"/>
    <col min="9731" max="9731" width="9.140625" style="6"/>
    <col min="9732" max="9732" width="10.7109375" style="6" customWidth="1"/>
    <col min="9733" max="9984" width="9.140625" style="6"/>
    <col min="9985" max="9985" width="27" style="6" customWidth="1"/>
    <col min="9986" max="9986" width="8.7109375" style="6" customWidth="1"/>
    <col min="9987" max="9987" width="9.140625" style="6"/>
    <col min="9988" max="9988" width="10.7109375" style="6" customWidth="1"/>
    <col min="9989" max="10240" width="9.140625" style="6"/>
    <col min="10241" max="10241" width="27" style="6" customWidth="1"/>
    <col min="10242" max="10242" width="8.7109375" style="6" customWidth="1"/>
    <col min="10243" max="10243" width="9.140625" style="6"/>
    <col min="10244" max="10244" width="10.7109375" style="6" customWidth="1"/>
    <col min="10245" max="10496" width="9.140625" style="6"/>
    <col min="10497" max="10497" width="27" style="6" customWidth="1"/>
    <col min="10498" max="10498" width="8.7109375" style="6" customWidth="1"/>
    <col min="10499" max="10499" width="9.140625" style="6"/>
    <col min="10500" max="10500" width="10.7109375" style="6" customWidth="1"/>
    <col min="10501" max="10752" width="9.140625" style="6"/>
    <col min="10753" max="10753" width="27" style="6" customWidth="1"/>
    <col min="10754" max="10754" width="8.7109375" style="6" customWidth="1"/>
    <col min="10755" max="10755" width="9.140625" style="6"/>
    <col min="10756" max="10756" width="10.7109375" style="6" customWidth="1"/>
    <col min="10757" max="11008" width="9.140625" style="6"/>
    <col min="11009" max="11009" width="27" style="6" customWidth="1"/>
    <col min="11010" max="11010" width="8.7109375" style="6" customWidth="1"/>
    <col min="11011" max="11011" width="9.140625" style="6"/>
    <col min="11012" max="11012" width="10.7109375" style="6" customWidth="1"/>
    <col min="11013" max="11264" width="9.140625" style="6"/>
    <col min="11265" max="11265" width="27" style="6" customWidth="1"/>
    <col min="11266" max="11266" width="8.7109375" style="6" customWidth="1"/>
    <col min="11267" max="11267" width="9.140625" style="6"/>
    <col min="11268" max="11268" width="10.7109375" style="6" customWidth="1"/>
    <col min="11269" max="11520" width="9.140625" style="6"/>
    <col min="11521" max="11521" width="27" style="6" customWidth="1"/>
    <col min="11522" max="11522" width="8.7109375" style="6" customWidth="1"/>
    <col min="11523" max="11523" width="9.140625" style="6"/>
    <col min="11524" max="11524" width="10.7109375" style="6" customWidth="1"/>
    <col min="11525" max="11776" width="9.140625" style="6"/>
    <col min="11777" max="11777" width="27" style="6" customWidth="1"/>
    <col min="11778" max="11778" width="8.7109375" style="6" customWidth="1"/>
    <col min="11779" max="11779" width="9.140625" style="6"/>
    <col min="11780" max="11780" width="10.7109375" style="6" customWidth="1"/>
    <col min="11781" max="12032" width="9.140625" style="6"/>
    <col min="12033" max="12033" width="27" style="6" customWidth="1"/>
    <col min="12034" max="12034" width="8.7109375" style="6" customWidth="1"/>
    <col min="12035" max="12035" width="9.140625" style="6"/>
    <col min="12036" max="12036" width="10.7109375" style="6" customWidth="1"/>
    <col min="12037" max="12288" width="9.140625" style="6"/>
    <col min="12289" max="12289" width="27" style="6" customWidth="1"/>
    <col min="12290" max="12290" width="8.7109375" style="6" customWidth="1"/>
    <col min="12291" max="12291" width="9.140625" style="6"/>
    <col min="12292" max="12292" width="10.7109375" style="6" customWidth="1"/>
    <col min="12293" max="12544" width="9.140625" style="6"/>
    <col min="12545" max="12545" width="27" style="6" customWidth="1"/>
    <col min="12546" max="12546" width="8.7109375" style="6" customWidth="1"/>
    <col min="12547" max="12547" width="9.140625" style="6"/>
    <col min="12548" max="12548" width="10.7109375" style="6" customWidth="1"/>
    <col min="12549" max="12800" width="9.140625" style="6"/>
    <col min="12801" max="12801" width="27" style="6" customWidth="1"/>
    <col min="12802" max="12802" width="8.7109375" style="6" customWidth="1"/>
    <col min="12803" max="12803" width="9.140625" style="6"/>
    <col min="12804" max="12804" width="10.7109375" style="6" customWidth="1"/>
    <col min="12805" max="13056" width="9.140625" style="6"/>
    <col min="13057" max="13057" width="27" style="6" customWidth="1"/>
    <col min="13058" max="13058" width="8.7109375" style="6" customWidth="1"/>
    <col min="13059" max="13059" width="9.140625" style="6"/>
    <col min="13060" max="13060" width="10.7109375" style="6" customWidth="1"/>
    <col min="13061" max="13312" width="9.140625" style="6"/>
    <col min="13313" max="13313" width="27" style="6" customWidth="1"/>
    <col min="13314" max="13314" width="8.7109375" style="6" customWidth="1"/>
    <col min="13315" max="13315" width="9.140625" style="6"/>
    <col min="13316" max="13316" width="10.7109375" style="6" customWidth="1"/>
    <col min="13317" max="13568" width="9.140625" style="6"/>
    <col min="13569" max="13569" width="27" style="6" customWidth="1"/>
    <col min="13570" max="13570" width="8.7109375" style="6" customWidth="1"/>
    <col min="13571" max="13571" width="9.140625" style="6"/>
    <col min="13572" max="13572" width="10.7109375" style="6" customWidth="1"/>
    <col min="13573" max="13824" width="9.140625" style="6"/>
    <col min="13825" max="13825" width="27" style="6" customWidth="1"/>
    <col min="13826" max="13826" width="8.7109375" style="6" customWidth="1"/>
    <col min="13827" max="13827" width="9.140625" style="6"/>
    <col min="13828" max="13828" width="10.7109375" style="6" customWidth="1"/>
    <col min="13829" max="14080" width="9.140625" style="6"/>
    <col min="14081" max="14081" width="27" style="6" customWidth="1"/>
    <col min="14082" max="14082" width="8.7109375" style="6" customWidth="1"/>
    <col min="14083" max="14083" width="9.140625" style="6"/>
    <col min="14084" max="14084" width="10.7109375" style="6" customWidth="1"/>
    <col min="14085" max="14336" width="9.140625" style="6"/>
    <col min="14337" max="14337" width="27" style="6" customWidth="1"/>
    <col min="14338" max="14338" width="8.7109375" style="6" customWidth="1"/>
    <col min="14339" max="14339" width="9.140625" style="6"/>
    <col min="14340" max="14340" width="10.7109375" style="6" customWidth="1"/>
    <col min="14341" max="14592" width="9.140625" style="6"/>
    <col min="14593" max="14593" width="27" style="6" customWidth="1"/>
    <col min="14594" max="14594" width="8.7109375" style="6" customWidth="1"/>
    <col min="14595" max="14595" width="9.140625" style="6"/>
    <col min="14596" max="14596" width="10.7109375" style="6" customWidth="1"/>
    <col min="14597" max="14848" width="9.140625" style="6"/>
    <col min="14849" max="14849" width="27" style="6" customWidth="1"/>
    <col min="14850" max="14850" width="8.7109375" style="6" customWidth="1"/>
    <col min="14851" max="14851" width="9.140625" style="6"/>
    <col min="14852" max="14852" width="10.7109375" style="6" customWidth="1"/>
    <col min="14853" max="15104" width="9.140625" style="6"/>
    <col min="15105" max="15105" width="27" style="6" customWidth="1"/>
    <col min="15106" max="15106" width="8.7109375" style="6" customWidth="1"/>
    <col min="15107" max="15107" width="9.140625" style="6"/>
    <col min="15108" max="15108" width="10.7109375" style="6" customWidth="1"/>
    <col min="15109" max="15360" width="9.140625" style="6"/>
    <col min="15361" max="15361" width="27" style="6" customWidth="1"/>
    <col min="15362" max="15362" width="8.7109375" style="6" customWidth="1"/>
    <col min="15363" max="15363" width="9.140625" style="6"/>
    <col min="15364" max="15364" width="10.7109375" style="6" customWidth="1"/>
    <col min="15365" max="15616" width="9.140625" style="6"/>
    <col min="15617" max="15617" width="27" style="6" customWidth="1"/>
    <col min="15618" max="15618" width="8.7109375" style="6" customWidth="1"/>
    <col min="15619" max="15619" width="9.140625" style="6"/>
    <col min="15620" max="15620" width="10.7109375" style="6" customWidth="1"/>
    <col min="15621" max="15872" width="9.140625" style="6"/>
    <col min="15873" max="15873" width="27" style="6" customWidth="1"/>
    <col min="15874" max="15874" width="8.7109375" style="6" customWidth="1"/>
    <col min="15875" max="15875" width="9.140625" style="6"/>
    <col min="15876" max="15876" width="10.7109375" style="6" customWidth="1"/>
    <col min="15877" max="16128" width="9.140625" style="6"/>
    <col min="16129" max="16129" width="27" style="6" customWidth="1"/>
    <col min="16130" max="16130" width="8.7109375" style="6" customWidth="1"/>
    <col min="16131" max="16131" width="9.140625" style="6"/>
    <col min="16132" max="16132" width="10.7109375" style="6" customWidth="1"/>
    <col min="16133" max="16384" width="9.140625" style="6"/>
  </cols>
  <sheetData>
    <row r="1" spans="1:5" s="27" customFormat="1" ht="22.5" customHeight="1">
      <c r="A1" s="23" t="s">
        <v>225</v>
      </c>
    </row>
    <row r="9" spans="1:5">
      <c r="C9" s="6" t="s">
        <v>278</v>
      </c>
      <c r="D9" s="6" t="s">
        <v>277</v>
      </c>
    </row>
    <row r="10" spans="1:5">
      <c r="B10" s="6" t="s">
        <v>477</v>
      </c>
      <c r="C10" s="6">
        <v>0.8</v>
      </c>
      <c r="D10" s="73">
        <v>0.8</v>
      </c>
      <c r="E10" s="6">
        <f>SUM(C10:D10)</f>
        <v>1.6</v>
      </c>
    </row>
    <row r="11" spans="1:5">
      <c r="B11" s="6" t="s">
        <v>478</v>
      </c>
      <c r="C11" s="6">
        <v>4.8</v>
      </c>
      <c r="D11" s="73">
        <v>3.8</v>
      </c>
      <c r="E11" s="6">
        <f t="shared" ref="E11:E15" si="0">SUM(C11:D11)</f>
        <v>8.6</v>
      </c>
    </row>
    <row r="12" spans="1:5">
      <c r="B12" s="6" t="s">
        <v>479</v>
      </c>
      <c r="C12" s="6">
        <v>6.1</v>
      </c>
      <c r="D12" s="6">
        <v>3.9</v>
      </c>
      <c r="E12" s="6">
        <f t="shared" si="0"/>
        <v>10</v>
      </c>
    </row>
    <row r="13" spans="1:5">
      <c r="B13" s="6" t="s">
        <v>480</v>
      </c>
      <c r="C13" s="6">
        <v>2.9</v>
      </c>
      <c r="D13" s="6">
        <v>2.2999999999999998</v>
      </c>
      <c r="E13" s="6">
        <f t="shared" si="0"/>
        <v>5.1999999999999993</v>
      </c>
    </row>
    <row r="14" spans="1:5">
      <c r="B14" s="6" t="s">
        <v>481</v>
      </c>
      <c r="C14" s="6">
        <v>1.1000000000000001</v>
      </c>
      <c r="D14" s="6">
        <v>1.2</v>
      </c>
      <c r="E14" s="6">
        <f t="shared" si="0"/>
        <v>2.2999999999999998</v>
      </c>
    </row>
    <row r="15" spans="1:5">
      <c r="B15" s="6" t="s">
        <v>482</v>
      </c>
      <c r="C15" s="6">
        <v>1.1000000000000001</v>
      </c>
      <c r="D15" s="6">
        <v>1.3</v>
      </c>
      <c r="E15" s="6">
        <f t="shared" si="0"/>
        <v>2.4000000000000004</v>
      </c>
    </row>
    <row r="16" spans="1:5">
      <c r="E16" s="6">
        <f>SUM(E10:E15)</f>
        <v>30.1</v>
      </c>
    </row>
  </sheetData>
  <hyperlinks>
    <hyperlink ref="A1" location="turinys!A1" display="Grįžti į turinį"/>
  </hyperlinks>
  <pageMargins left="0.25" right="0.25" top="0.75" bottom="0.75" header="0.3" footer="0.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41</vt:i4>
      </vt:variant>
      <vt:variant>
        <vt:lpstr>Įvardinti diapazonai</vt:lpstr>
      </vt:variant>
      <vt:variant>
        <vt:i4>1</vt:i4>
      </vt:variant>
    </vt:vector>
  </HeadingPairs>
  <TitlesOfParts>
    <vt:vector size="42" baseType="lpstr">
      <vt:lpstr>titulinis</vt:lpstr>
      <vt:lpstr>turinys</vt:lpstr>
      <vt:lpstr>3 psl.</vt:lpstr>
      <vt:lpstr>4 psl.</vt:lpstr>
      <vt:lpstr>5 psl.</vt:lpstr>
      <vt:lpstr>6 psl.</vt:lpstr>
      <vt:lpstr>7 psl.</vt:lpstr>
      <vt:lpstr>8 psl.</vt:lpstr>
      <vt:lpstr>9 psl.</vt:lpstr>
      <vt:lpstr>10 psl.</vt:lpstr>
      <vt:lpstr>11 psl.</vt:lpstr>
      <vt:lpstr>12 psl.</vt:lpstr>
      <vt:lpstr>13 psl.</vt:lpstr>
      <vt:lpstr>14 psl.</vt:lpstr>
      <vt:lpstr>15 psl.</vt:lpstr>
      <vt:lpstr>16 psl.</vt:lpstr>
      <vt:lpstr>17 psl.</vt:lpstr>
      <vt:lpstr>18 psl.</vt:lpstr>
      <vt:lpstr>19 psl.</vt:lpstr>
      <vt:lpstr>20 psl.</vt:lpstr>
      <vt:lpstr>21 psl.</vt:lpstr>
      <vt:lpstr>22 psl.</vt:lpstr>
      <vt:lpstr>23 psl.</vt:lpstr>
      <vt:lpstr>24 psl.</vt:lpstr>
      <vt:lpstr>25 psl.</vt:lpstr>
      <vt:lpstr>26 psl.</vt:lpstr>
      <vt:lpstr>27 psl.</vt:lpstr>
      <vt:lpstr>28 psl.</vt:lpstr>
      <vt:lpstr>29 psl.</vt:lpstr>
      <vt:lpstr>30 psl.</vt:lpstr>
      <vt:lpstr>31 psl.</vt:lpstr>
      <vt:lpstr>32 psl.</vt:lpstr>
      <vt:lpstr>33 psl.</vt:lpstr>
      <vt:lpstr>34 psl.</vt:lpstr>
      <vt:lpstr>35 psl.</vt:lpstr>
      <vt:lpstr>36 psl.</vt:lpstr>
      <vt:lpstr>37 psl.</vt:lpstr>
      <vt:lpstr>38 psl.</vt:lpstr>
      <vt:lpstr>39 psl.</vt:lpstr>
      <vt:lpstr>40 psl.</vt:lpstr>
      <vt:lpstr>41 psl.</vt:lpstr>
      <vt:lpstr>'39 psl.'!Print_Area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2016-07-13T07:59:04Z</dcterms:modified>
</cp:coreProperties>
</file>